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ristinelima/Desktop/"/>
    </mc:Choice>
  </mc:AlternateContent>
  <xr:revisionPtr revIDLastSave="0" documentId="8_{768524A9-FB2C-6A44-874D-1C9FE9807EA3}" xr6:coauthVersionLast="47" xr6:coauthVersionMax="47" xr10:uidLastSave="{00000000-0000-0000-0000-000000000000}"/>
  <bookViews>
    <workbookView xWindow="0" yWindow="660" windowWidth="28800" windowHeight="16280" xr2:uid="{2EBC938A-EB3D-254F-BCFD-D4E56234AA73}"/>
  </bookViews>
  <sheets>
    <sheet name="CALCULATOR" sheetId="8" r:id="rId1"/>
    <sheet name="Scatch" sheetId="9" r:id="rId2"/>
    <sheet name="Monthly Scales" sheetId="1" r:id="rId3"/>
    <sheet name="Term Scales" sheetId="10" r:id="rId4"/>
    <sheet name="Tuition+Fee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8" l="1"/>
  <c r="F21" i="9"/>
  <c r="E21" i="9"/>
  <c r="D21" i="9"/>
  <c r="F38" i="9"/>
  <c r="E38" i="9"/>
  <c r="D38" i="9"/>
  <c r="C38" i="9"/>
  <c r="F37" i="9"/>
  <c r="E37" i="9"/>
  <c r="D37" i="9"/>
  <c r="C37" i="9"/>
  <c r="F31" i="9"/>
  <c r="F30" i="9"/>
  <c r="F28" i="9"/>
  <c r="F24" i="9"/>
  <c r="F23" i="9"/>
  <c r="E24" i="9"/>
  <c r="E23" i="9"/>
  <c r="D24" i="9"/>
  <c r="D23" i="9"/>
  <c r="C24" i="9"/>
  <c r="C23" i="9"/>
  <c r="E31" i="9"/>
  <c r="E30" i="9"/>
  <c r="D31" i="9"/>
  <c r="D30" i="9"/>
  <c r="C31" i="9"/>
  <c r="C30" i="9"/>
  <c r="B31" i="9"/>
  <c r="B30" i="9"/>
  <c r="C4" i="8" l="1"/>
  <c r="B38" i="9"/>
  <c r="B37" i="9"/>
  <c r="Q3" i="10"/>
  <c r="Q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N3" i="10"/>
  <c r="P3" i="10"/>
  <c r="P4" i="10"/>
  <c r="P5" i="10"/>
  <c r="P6" i="10"/>
  <c r="P7" i="10"/>
  <c r="P8" i="10"/>
  <c r="P9" i="10"/>
  <c r="P10" i="10"/>
  <c r="P11" i="10"/>
  <c r="P12" i="10"/>
  <c r="P13" i="10"/>
  <c r="P14" i="10"/>
  <c r="P15" i="10"/>
  <c r="P16" i="10"/>
  <c r="P17" i="10"/>
  <c r="P18" i="10"/>
  <c r="P19" i="10"/>
  <c r="M3" i="10"/>
  <c r="O3" i="10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I3" i="10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B24" i="9"/>
  <c r="Q4" i="5"/>
  <c r="P4" i="5"/>
  <c r="B23" i="9"/>
  <c r="C16" i="9"/>
  <c r="B7" i="5"/>
  <c r="B17" i="9" s="1"/>
  <c r="B8" i="5"/>
  <c r="B16" i="9"/>
  <c r="E7" i="5"/>
  <c r="C17" i="9" s="1"/>
  <c r="E8" i="5"/>
  <c r="H6" i="5"/>
  <c r="K6" i="5" s="1"/>
  <c r="N6" i="5" s="1"/>
  <c r="Q6" i="5" s="1"/>
  <c r="G5" i="5"/>
  <c r="J5" i="5" s="1"/>
  <c r="M5" i="5" s="1"/>
  <c r="P5" i="5" s="1"/>
  <c r="H5" i="5"/>
  <c r="K5" i="5" s="1"/>
  <c r="N5" i="5" s="1"/>
  <c r="Q5" i="5" s="1"/>
  <c r="G4" i="5"/>
  <c r="J4" i="5" s="1"/>
  <c r="M4" i="5" s="1"/>
  <c r="H4" i="5"/>
  <c r="K4" i="5" s="1"/>
  <c r="N4" i="5" s="1"/>
  <c r="F4" i="5"/>
  <c r="F5" i="5"/>
  <c r="I5" i="5" s="1"/>
  <c r="L5" i="5" s="1"/>
  <c r="O5" i="5" s="1"/>
  <c r="G3" i="5"/>
  <c r="H3" i="5"/>
  <c r="K3" i="5" s="1"/>
  <c r="J3" i="5"/>
  <c r="M3" i="5" s="1"/>
  <c r="P3" i="5" s="1"/>
  <c r="F3" i="5"/>
  <c r="I3" i="5" s="1"/>
  <c r="F16" i="8" l="1"/>
  <c r="G16" i="8"/>
  <c r="Q7" i="5"/>
  <c r="E16" i="9"/>
  <c r="F18" i="8"/>
  <c r="D16" i="9"/>
  <c r="F17" i="8"/>
  <c r="N7" i="5"/>
  <c r="H7" i="5"/>
  <c r="I4" i="5"/>
  <c r="K7" i="5"/>
  <c r="N3" i="5"/>
  <c r="K8" i="5"/>
  <c r="H8" i="5"/>
  <c r="L3" i="5"/>
  <c r="D17" i="9" l="1"/>
  <c r="F17" i="9"/>
  <c r="E17" i="9"/>
  <c r="F19" i="8"/>
  <c r="O3" i="5"/>
  <c r="Q3" i="5"/>
  <c r="N8" i="5"/>
  <c r="F16" i="9"/>
  <c r="L4" i="5"/>
  <c r="O4" i="5" l="1"/>
  <c r="Q8" i="5"/>
  <c r="F20" i="8"/>
  <c r="F21" i="8" s="1"/>
  <c r="D6" i="5" l="1"/>
  <c r="C6" i="5"/>
  <c r="N4" i="10"/>
  <c r="N5" i="10"/>
  <c r="N6" i="10"/>
  <c r="N7" i="10"/>
  <c r="N8" i="10"/>
  <c r="N9" i="10"/>
  <c r="N10" i="10"/>
  <c r="N11" i="10"/>
  <c r="N12" i="10"/>
  <c r="N13" i="10"/>
  <c r="N14" i="10"/>
  <c r="N15" i="10"/>
  <c r="N16" i="10"/>
  <c r="N17" i="10"/>
  <c r="N18" i="10"/>
  <c r="N19" i="10"/>
  <c r="M4" i="10"/>
  <c r="M5" i="10"/>
  <c r="M6" i="10"/>
  <c r="M7" i="10"/>
  <c r="M8" i="10"/>
  <c r="M9" i="10"/>
  <c r="M10" i="10"/>
  <c r="M11" i="10"/>
  <c r="M12" i="10"/>
  <c r="M13" i="10"/>
  <c r="M14" i="10"/>
  <c r="M15" i="10"/>
  <c r="M16" i="10"/>
  <c r="M17" i="10"/>
  <c r="M18" i="10"/>
  <c r="M19" i="10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K4" i="10"/>
  <c r="K5" i="10"/>
  <c r="K6" i="10"/>
  <c r="K7" i="10"/>
  <c r="K8" i="10"/>
  <c r="K9" i="10"/>
  <c r="K10" i="10"/>
  <c r="K11" i="10"/>
  <c r="K12" i="10"/>
  <c r="K13" i="10"/>
  <c r="K14" i="10"/>
  <c r="K15" i="10"/>
  <c r="K16" i="10"/>
  <c r="K17" i="10"/>
  <c r="K18" i="10"/>
  <c r="K19" i="10"/>
  <c r="K3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3" i="10"/>
  <c r="I4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3" i="10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3" i="10"/>
  <c r="C4" i="10"/>
  <c r="C5" i="10"/>
  <c r="C6" i="10"/>
  <c r="C7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3" i="10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3" i="10"/>
  <c r="B4" i="9"/>
  <c r="F12" i="1"/>
  <c r="F11" i="1"/>
  <c r="F10" i="1"/>
  <c r="F9" i="1"/>
  <c r="E12" i="1"/>
  <c r="E11" i="1"/>
  <c r="E10" i="1"/>
  <c r="E9" i="1"/>
  <c r="B14" i="9" l="1"/>
  <c r="B15" i="9" s="1"/>
  <c r="B35" i="9"/>
  <c r="B36" i="9" s="1"/>
  <c r="B16" i="8"/>
  <c r="B28" i="9"/>
  <c r="B21" i="9"/>
  <c r="B22" i="9" s="1"/>
  <c r="B5" i="9"/>
  <c r="C5" i="9" s="1" a="1"/>
  <c r="C5" i="9" s="1"/>
  <c r="F6" i="5"/>
  <c r="F7" i="5" s="1"/>
  <c r="G17" i="8" s="1"/>
  <c r="C7" i="5"/>
  <c r="G6" i="5"/>
  <c r="G7" i="5" s="1"/>
  <c r="D7" i="5"/>
  <c r="C4" i="9"/>
  <c r="B7" i="9"/>
  <c r="B6" i="9"/>
  <c r="B29" i="9" l="1"/>
  <c r="E16" i="8" s="1"/>
  <c r="D16" i="8"/>
  <c r="C35" i="9"/>
  <c r="C36" i="9" s="1"/>
  <c r="C14" i="9"/>
  <c r="C15" i="9" s="1"/>
  <c r="B17" i="8"/>
  <c r="C28" i="9"/>
  <c r="C29" i="9" s="1"/>
  <c r="C21" i="9"/>
  <c r="F8" i="5"/>
  <c r="G8" i="5"/>
  <c r="J6" i="5"/>
  <c r="J7" i="5" s="1"/>
  <c r="I6" i="5"/>
  <c r="I7" i="5" s="1"/>
  <c r="G18" i="8" s="1"/>
  <c r="J8" i="5"/>
  <c r="L6" i="5"/>
  <c r="I8" i="5"/>
  <c r="D4" i="9"/>
  <c r="C6" i="9" a="1"/>
  <c r="C6" i="9" s="1"/>
  <c r="D5" i="9" a="1"/>
  <c r="D5" i="9" s="1"/>
  <c r="C8" i="5"/>
  <c r="D8" i="5"/>
  <c r="D35" i="9" l="1"/>
  <c r="D36" i="9" s="1"/>
  <c r="D14" i="9"/>
  <c r="D15" i="9" s="1"/>
  <c r="C16" i="8"/>
  <c r="B18" i="8"/>
  <c r="D28" i="9"/>
  <c r="D29" i="9" s="1"/>
  <c r="O6" i="5"/>
  <c r="L7" i="5"/>
  <c r="G19" i="8" s="1"/>
  <c r="M6" i="5"/>
  <c r="D17" i="8"/>
  <c r="C22" i="9"/>
  <c r="E17" i="8" s="1"/>
  <c r="L8" i="5"/>
  <c r="M8" i="5"/>
  <c r="E4" i="9"/>
  <c r="E5" i="9" a="1"/>
  <c r="E5" i="9" s="1"/>
  <c r="F5" i="9" s="1" a="1"/>
  <c r="F5" i="9" s="1"/>
  <c r="D6" i="9" a="1"/>
  <c r="D6" i="9" s="1"/>
  <c r="E14" i="9" l="1"/>
  <c r="E35" i="9"/>
  <c r="E36" i="9" s="1"/>
  <c r="B19" i="8"/>
  <c r="E28" i="9"/>
  <c r="E29" i="9" s="1"/>
  <c r="M7" i="5"/>
  <c r="P6" i="5"/>
  <c r="O8" i="5"/>
  <c r="O7" i="5"/>
  <c r="G20" i="8" s="1"/>
  <c r="G21" i="8" s="1"/>
  <c r="E15" i="9"/>
  <c r="D18" i="8"/>
  <c r="D22" i="9"/>
  <c r="E18" i="8" s="1"/>
  <c r="H17" i="8"/>
  <c r="C17" i="8" s="1"/>
  <c r="F4" i="9"/>
  <c r="E6" i="9" a="1"/>
  <c r="E6" i="9" s="1"/>
  <c r="F6" i="9" s="1" a="1"/>
  <c r="F6" i="9" s="1"/>
  <c r="F14" i="9" l="1"/>
  <c r="F15" i="9" s="1"/>
  <c r="F35" i="9"/>
  <c r="F36" i="9" s="1"/>
  <c r="B20" i="8"/>
  <c r="F29" i="9"/>
  <c r="P7" i="5"/>
  <c r="P8" i="5"/>
  <c r="H18" i="8"/>
  <c r="C18" i="8" s="1"/>
  <c r="D19" i="8"/>
  <c r="E22" i="9"/>
  <c r="E19" i="8" s="1"/>
  <c r="D20" i="8" l="1"/>
  <c r="D21" i="8" s="1"/>
  <c r="F22" i="9"/>
  <c r="E20" i="8" s="1"/>
  <c r="E21" i="8" s="1"/>
  <c r="H19" i="8"/>
  <c r="C19" i="8" s="1"/>
  <c r="H20" i="8" l="1"/>
  <c r="H21" i="8" s="1"/>
  <c r="C20" i="8" l="1"/>
  <c r="C21" i="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<sst xmlns="http://schemas.openxmlformats.org/spreadsheetml/2006/main" count="174" uniqueCount="91">
  <si>
    <t>Graduate Student Appointment Calculator</t>
  </si>
  <si>
    <t>Appointment Type</t>
  </si>
  <si>
    <t>TA I</t>
  </si>
  <si>
    <t>FTE</t>
  </si>
  <si>
    <t>Include Tution/Fees?</t>
  </si>
  <si>
    <t>No</t>
  </si>
  <si>
    <t>Apply Indirect Cost Charges?</t>
  </si>
  <si>
    <t>26/27</t>
  </si>
  <si>
    <t>27/28</t>
  </si>
  <si>
    <t>28/29</t>
  </si>
  <si>
    <t>29/30</t>
  </si>
  <si>
    <t>30/31</t>
  </si>
  <si>
    <t>Semester(s)</t>
  </si>
  <si>
    <t>Fall</t>
  </si>
  <si>
    <t>Yes</t>
  </si>
  <si>
    <t>Spring</t>
  </si>
  <si>
    <t>Summer</t>
  </si>
  <si>
    <t>YEAR</t>
  </si>
  <si>
    <t>Appointment</t>
  </si>
  <si>
    <t>TOTAL</t>
  </si>
  <si>
    <t>Appointment Salary</t>
  </si>
  <si>
    <t>CBR &amp; GAEL</t>
  </si>
  <si>
    <t>Tution</t>
  </si>
  <si>
    <t>Fees</t>
  </si>
  <si>
    <t>IDC</t>
  </si>
  <si>
    <t>SUBTOTALS</t>
  </si>
  <si>
    <t>This is a scratch worksheet. Users should not modify any cells here.</t>
  </si>
  <si>
    <t>Title Name</t>
  </si>
  <si>
    <t>CBR</t>
  </si>
  <si>
    <t>GAEL</t>
  </si>
  <si>
    <t>Summer (Leading)</t>
  </si>
  <si>
    <t>Base Salary</t>
  </si>
  <si>
    <t>Base CBR and GAEL</t>
  </si>
  <si>
    <t>Summer (Trailing)</t>
  </si>
  <si>
    <t>IDC Rate</t>
  </si>
  <si>
    <t>50% Monthly Scales</t>
  </si>
  <si>
    <t>Title</t>
  </si>
  <si>
    <t>10/1/21</t>
  </si>
  <si>
    <t>4/1/23</t>
  </si>
  <si>
    <t>10/1/23</t>
  </si>
  <si>
    <t>10/1/24</t>
  </si>
  <si>
    <t>10/1/25</t>
  </si>
  <si>
    <t>10/1/26</t>
  </si>
  <si>
    <t>10/1/27</t>
  </si>
  <si>
    <t>10/1/28</t>
  </si>
  <si>
    <t>10/1/29</t>
  </si>
  <si>
    <t>10/1/30</t>
  </si>
  <si>
    <t>GSR I</t>
  </si>
  <si>
    <t>GSR II</t>
  </si>
  <si>
    <t>GSR III</t>
  </si>
  <si>
    <t>GSR IV</t>
  </si>
  <si>
    <t>GSR V</t>
  </si>
  <si>
    <t>GSR VI</t>
  </si>
  <si>
    <t>TA II</t>
  </si>
  <si>
    <t>TA III</t>
  </si>
  <si>
    <t>TF</t>
  </si>
  <si>
    <t>AI I</t>
  </si>
  <si>
    <t>AI II</t>
  </si>
  <si>
    <t>AI III</t>
  </si>
  <si>
    <t>AI IV</t>
  </si>
  <si>
    <t>AI V</t>
  </si>
  <si>
    <t>AI VI</t>
  </si>
  <si>
    <t>AI VII</t>
  </si>
  <si>
    <t>Summer 2026</t>
  </si>
  <si>
    <t>Fall 2026</t>
  </si>
  <si>
    <t>Spring 2027</t>
  </si>
  <si>
    <t>Summer 2027</t>
  </si>
  <si>
    <t>Fall 2027</t>
  </si>
  <si>
    <t>Spring 2028</t>
  </si>
  <si>
    <t>Summer 2028</t>
  </si>
  <si>
    <t>Fall 2028</t>
  </si>
  <si>
    <t>Spring 2029</t>
  </si>
  <si>
    <t>Summer 2029</t>
  </si>
  <si>
    <t>Fall 2029</t>
  </si>
  <si>
    <t>Spring 2030</t>
  </si>
  <si>
    <t>Summer 2030</t>
  </si>
  <si>
    <t>Fall 2030</t>
  </si>
  <si>
    <t>Spring 2031</t>
  </si>
  <si>
    <t>Summer 2031</t>
  </si>
  <si>
    <t>Tuition and Fees</t>
  </si>
  <si>
    <t>Item</t>
  </si>
  <si>
    <t>Resident Tuition</t>
  </si>
  <si>
    <t>Student Services Fee</t>
  </si>
  <si>
    <r>
      <t xml:space="preserve">GSHIP </t>
    </r>
    <r>
      <rPr>
        <b/>
        <i/>
        <sz val="12"/>
        <color theme="1"/>
        <rFont val="Aptos Narrow"/>
        <family val="2"/>
        <scheme val="minor"/>
      </rPr>
      <t>(medical, dental &amp; vision)</t>
    </r>
  </si>
  <si>
    <t>Campus Based Fees+Technology Fee</t>
  </si>
  <si>
    <t>Fees Subtotal</t>
  </si>
  <si>
    <t>Annual Rate Increase</t>
  </si>
  <si>
    <t xml:space="preserve">Resident Tuition* </t>
  </si>
  <si>
    <t>Student Services Fee*</t>
  </si>
  <si>
    <r>
      <t xml:space="preserve">GSHIP </t>
    </r>
    <r>
      <rPr>
        <b/>
        <i/>
        <sz val="12"/>
        <color theme="1"/>
        <rFont val="Aptos Narrow"/>
        <family val="2"/>
        <scheme val="minor"/>
      </rPr>
      <t>(medical, dental &amp; vision)</t>
    </r>
    <r>
      <rPr>
        <b/>
        <sz val="12"/>
        <color theme="1"/>
        <rFont val="Aptos Narrow"/>
        <family val="2"/>
        <scheme val="minor"/>
      </rPr>
      <t>*</t>
    </r>
  </si>
  <si>
    <t>Campus Based Fees+Technology Fee*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</si>
</sst>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6"/>
      <color theme="1"/>
      <name val="Aptos Narrow"/>
      <scheme val="minor"/>
    </font>
    <font>
      <i/>
      <sz val="12"/>
      <color theme="1"/>
      <name val="Aptos Narrow"/>
      <scheme val="minor"/>
    </font>
    <font>
      <b/>
      <i/>
      <sz val="12"/>
      <color theme="1"/>
      <name val="Aptos Narrow"/>
      <scheme val="minor"/>
    </font>
    <font>
      <b/>
      <i/>
      <sz val="14"/>
      <color theme="1"/>
      <name val="Aptos Narrow"/>
      <scheme val="minor"/>
    </font>
    <font>
      <b/>
      <sz val="12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double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/>
    <xf numFmtId="44" fontId="0" fillId="0" borderId="1" xfId="0" applyNumberFormat="1" applyBorder="1"/>
    <xf numFmtId="1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vertical="center"/>
    </xf>
    <xf numFmtId="44" fontId="0" fillId="2" borderId="1" xfId="0" applyNumberFormat="1" applyFill="1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44" fontId="0" fillId="0" borderId="0" xfId="0" applyNumberFormat="1"/>
    <xf numFmtId="0" fontId="5" fillId="0" borderId="0" xfId="0" applyFont="1"/>
    <xf numFmtId="14" fontId="4" fillId="0" borderId="0" xfId="0" applyNumberFormat="1" applyFont="1" applyAlignment="1">
      <alignment horizontal="center"/>
    </xf>
    <xf numFmtId="44" fontId="0" fillId="0" borderId="0" xfId="2" applyFont="1"/>
    <xf numFmtId="44" fontId="0" fillId="2" borderId="1" xfId="0" applyNumberFormat="1" applyFill="1" applyBorder="1"/>
    <xf numFmtId="44" fontId="4" fillId="0" borderId="0" xfId="0" applyNumberFormat="1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44" fontId="5" fillId="0" borderId="0" xfId="2" applyFont="1"/>
    <xf numFmtId="10" fontId="0" fillId="0" borderId="0" xfId="1" applyNumberFormat="1" applyFont="1"/>
    <xf numFmtId="44" fontId="5" fillId="0" borderId="0" xfId="0" applyNumberFormat="1" applyFont="1"/>
    <xf numFmtId="0" fontId="10" fillId="3" borderId="2" xfId="0" applyFont="1" applyFill="1" applyBorder="1" applyAlignment="1">
      <alignment horizontal="center"/>
    </xf>
    <xf numFmtId="0" fontId="10" fillId="3" borderId="3" xfId="0" applyFont="1" applyFill="1" applyBorder="1" applyAlignment="1">
      <alignment horizontal="center"/>
    </xf>
    <xf numFmtId="44" fontId="5" fillId="0" borderId="0" xfId="2" applyFont="1" applyAlignment="1">
      <alignment horizontal="right"/>
    </xf>
    <xf numFmtId="44" fontId="5" fillId="0" borderId="1" xfId="0" applyNumberFormat="1" applyFont="1" applyBorder="1"/>
    <xf numFmtId="0" fontId="8" fillId="0" borderId="4" xfId="0" applyFont="1" applyBorder="1"/>
    <xf numFmtId="44" fontId="8" fillId="0" borderId="4" xfId="0" applyNumberFormat="1" applyFont="1" applyBorder="1"/>
    <xf numFmtId="0" fontId="4" fillId="0" borderId="5" xfId="0" applyFont="1" applyBorder="1"/>
    <xf numFmtId="10" fontId="8" fillId="0" borderId="0" xfId="1" applyNumberFormat="1" applyFont="1"/>
    <xf numFmtId="0" fontId="7" fillId="4" borderId="0" xfId="0" applyFont="1" applyFill="1"/>
    <xf numFmtId="9" fontId="7" fillId="4" borderId="0" xfId="0" applyNumberFormat="1" applyFont="1" applyFill="1" applyAlignment="1">
      <alignment horizontal="left"/>
    </xf>
    <xf numFmtId="0" fontId="4" fillId="0" borderId="0" xfId="0" applyFont="1" applyAlignment="1">
      <alignment horizontal="center"/>
    </xf>
  </cellXfs>
  <cellStyles count="3">
    <cellStyle name="Currency" xfId="2" builtinId="4"/>
    <cellStyle name="Normal" xfId="0" builtinId="0"/>
    <cellStyle name="Percent" xfId="1" builtinId="5"/>
  </cellStyles>
  <dxfs count="50"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(&quot;$&quot;* #,##0.00_);_(&quot;$&quot;* \(#,##0.00\);_(&quot;$&quot;* &quot;-&quot;??_);_(@_)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alignment horizontal="center" vertical="bottom" textRotation="0" wrapText="0" indent="0" justifyLastLine="0" shrinkToFit="0" readingOrder="0"/>
    </dxf>
    <dxf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(&quot;$&quot;* #,##0.00_);_(&quot;$&quot;* \(#,##0.00\);_(&quot;$&quot;* &quot;-&quot;??_);_(@_)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4" formatCode="_(&quot;$&quot;* #,##0.00_);_(&quot;$&quot;* \(#,##0.00\);_(&quot;$&quot;* &quot;-&quot;??_);_(@_)"/>
      <fill>
        <patternFill patternType="solid">
          <fgColor indexed="64"/>
          <bgColor theme="0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scheme val="minor"/>
      </font>
      <numFmt numFmtId="19" formatCode="m/d/yy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177CB2A-E7C4-3148-990F-0AB1D942A951}" name="MonthlyScales50" displayName="MonthlyScales50" ref="A2:K19" totalsRowShown="0" headerRowDxfId="49" dataDxfId="48" dataCellStyle="Currency">
  <autoFilter ref="A2:K19" xr:uid="{0177CB2A-E7C4-3148-990F-0AB1D942A951}"/>
  <tableColumns count="11">
    <tableColumn id="1" xr3:uid="{2DB87970-0BB2-5E46-AB17-0D03BE333973}" name="Title" dataDxfId="47"/>
    <tableColumn id="2" xr3:uid="{4F489A83-9D3F-6542-B9B8-3CD3D05412ED}" name="10/1/21" dataDxfId="46"/>
    <tableColumn id="3" xr3:uid="{1D461D5F-BF47-0349-B806-62513290F9EA}" name="4/1/23" dataDxfId="45"/>
    <tableColumn id="4" xr3:uid="{76890FB6-A11C-214B-8823-06A128CD10D0}" name="10/1/23" dataDxfId="44"/>
    <tableColumn id="5" xr3:uid="{FABD9512-EC2A-0447-82D7-D1DB276198CA}" name="10/1/24" dataDxfId="43"/>
    <tableColumn id="6" xr3:uid="{CF6FE2F9-B4A3-D64E-B776-C43BB4DEF175}" name="10/1/25" dataDxfId="42"/>
    <tableColumn id="7" xr3:uid="{9560A072-6EC7-2249-AB4F-B3F7E9C618F1}" name="10/1/26" dataDxfId="41"/>
    <tableColumn id="8" xr3:uid="{B1B10B3F-276B-884A-A29C-CA63ED4413A7}" name="10/1/27" dataDxfId="40" dataCellStyle="Currency"/>
    <tableColumn id="9" xr3:uid="{01CEF1E9-80D7-FB4B-BE4C-33C7F4BD1BCA}" name="10/1/28" dataDxfId="39" dataCellStyle="Currency"/>
    <tableColumn id="10" xr3:uid="{433306EF-5FA8-4548-A64D-A822CC7B44FD}" name="10/1/29" dataDxfId="38" dataCellStyle="Currency"/>
    <tableColumn id="11" xr3:uid="{183A6250-B375-6A4B-BB86-83C5DB676740}" name="10/1/30" dataDxfId="37">
      <calculatedColumnFormula>MonthlyScales50[[#This Row],[10/1/29]]*1.04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651A7BD-44EC-474E-820D-15E52C5488A7}" name="termScales50" displayName="termScales50" ref="A2:Q19" totalsRowShown="0" headerRowDxfId="36" dataDxfId="35" dataCellStyle="Currency">
  <autoFilter ref="A2:Q19" xr:uid="{C651A7BD-44EC-474E-820D-15E52C5488A7}"/>
  <tableColumns count="17">
    <tableColumn id="1" xr3:uid="{51B7EE69-955C-AD43-95E1-63248F317319}" name="Title" dataDxfId="34"/>
    <tableColumn id="2" xr3:uid="{69A9A1A7-5600-4541-97DE-5DDFFB3DA480}" name="Summer 2026" dataDxfId="33" dataCellStyle="Currency">
      <calculatedColumnFormula>INDEX(MonthlyScales50[],MATCH($A3, MonthlyScales50[Title], 0),MATCH("10/1/25", MonthlyScales50[#Headers], 0))*3</calculatedColumnFormula>
    </tableColumn>
    <tableColumn id="3" xr3:uid="{F78B54CC-5804-B744-9575-122CEDB2D6FA}" name="Fall 2026" dataDxfId="32" dataCellStyle="Currency">
      <calculatedColumnFormula>INDEX(MonthlyScales50[],MATCH($A3, MonthlyScales50[Title], 0),MATCH("10/1/25", MonthlyScales50[#Headers], 0))*1.5+INDEX(MonthlyScales50[],MATCH($A3, MonthlyScales50[Title], 0),MATCH("10/1/26", MonthlyScales50[#Headers], 0))*3</calculatedColumnFormula>
    </tableColumn>
    <tableColumn id="4" xr3:uid="{609033F0-E28D-724B-87FC-C1B4B22778BC}" name="Spring 2027" dataDxfId="31" dataCellStyle="Currency">
      <calculatedColumnFormula>INDEX(MonthlyScales50[],MATCH($A3, MonthlyScales50[Title], 0),MATCH("10/1/26", MonthlyScales50[#Headers], 0))*4.5</calculatedColumnFormula>
    </tableColumn>
    <tableColumn id="5" xr3:uid="{6207535F-41C4-4845-8CCB-1BCEB0E25DA8}" name="Summer 2027" dataDxfId="30" dataCellStyle="Currency">
      <calculatedColumnFormula>INDEX(MonthlyScales50[],MATCH($A3, MonthlyScales50[Title], 0),MATCH("10/1/26", MonthlyScales50[#Headers], 0))*3</calculatedColumnFormula>
    </tableColumn>
    <tableColumn id="6" xr3:uid="{BD5E59A8-B824-0345-BA56-B7EAC48EE077}" name="Fall 2027" dataDxfId="29" dataCellStyle="Currency">
      <calculatedColumnFormula>INDEX(MonthlyScales50[],MATCH($A3, MonthlyScales50[Title], 0),MATCH("10/1/26", MonthlyScales50[#Headers], 0))*1.5+INDEX(MonthlyScales50[],MATCH($A3, MonthlyScales50[Title], 0),MATCH("10/1/27", MonthlyScales50[#Headers], 0))*3</calculatedColumnFormula>
    </tableColumn>
    <tableColumn id="7" xr3:uid="{DB83EC7C-10FA-8D47-BEDB-D7F1E2D9D0DA}" name="Spring 2028" dataDxfId="28" dataCellStyle="Currency">
      <calculatedColumnFormula>INDEX(MonthlyScales50[],MATCH($A3, MonthlyScales50[Title], 0),MATCH("10/1/27", MonthlyScales50[#Headers], 0))*4.5</calculatedColumnFormula>
    </tableColumn>
    <tableColumn id="8" xr3:uid="{C08CA4EB-EF65-CA47-88B4-B4CEE799CCE2}" name="Summer 2028" dataDxfId="27" dataCellStyle="Currency">
      <calculatedColumnFormula>INDEX(MonthlyScales50[],MATCH($A3, MonthlyScales50[Title], 0),MATCH("10/1/27", MonthlyScales50[#Headers], 0))*3</calculatedColumnFormula>
    </tableColumn>
    <tableColumn id="9" xr3:uid="{5B80D50E-F40F-C949-8D7C-569CC2D9F6D5}" name="Fall 2028" dataDxfId="26" dataCellStyle="Currency">
      <calculatedColumnFormula>INDEX(MonthlyScales50[],MATCH($A3, MonthlyScales50[Title], 0),MATCH("10/1/27", MonthlyScales50[#Headers], 0))*1.5+INDEX(MonthlyScales50[],MATCH($A3, MonthlyScales50[Title], 0),MATCH("10/1/28", MonthlyScales50[#Headers], 0))*3</calculatedColumnFormula>
    </tableColumn>
    <tableColumn id="10" xr3:uid="{8451525F-FE59-C741-82E3-354A7A6F4C01}" name="Spring 2029" dataDxfId="25" dataCellStyle="Currency">
      <calculatedColumnFormula>INDEX(MonthlyScales50[],MATCH($A3, MonthlyScales50[Title], 0),MATCH("10/1/28", MonthlyScales50[#Headers], 0))*4.5</calculatedColumnFormula>
    </tableColumn>
    <tableColumn id="11" xr3:uid="{ED15B638-6E37-0D4F-A072-CAAD625E4AE5}" name="Summer 2029" dataDxfId="24" dataCellStyle="Currency">
      <calculatedColumnFormula>INDEX(MonthlyScales50[],MATCH($A3, MonthlyScales50[Title], 0),MATCH("10/1/28", MonthlyScales50[#Headers], 0))*3</calculatedColumnFormula>
    </tableColumn>
    <tableColumn id="12" xr3:uid="{CD1E4AAF-E539-6447-AE3F-E4EC4E8F6013}" name="Fall 2029" dataDxfId="23" dataCellStyle="Currency">
      <calculatedColumnFormula>INDEX(MonthlyScales50[],MATCH($A3, MonthlyScales50[Title], 0),MATCH("10/1/28", MonthlyScales50[#Headers], 0))*1.5+INDEX(MonthlyScales50[],MATCH($A3, MonthlyScales50[Title], 0),MATCH("10/1/29", MonthlyScales50[#Headers], 0))*3</calculatedColumnFormula>
    </tableColumn>
    <tableColumn id="13" xr3:uid="{D45FF30C-DA6A-D145-B36E-19A1E8D9BEAF}" name="Spring 2030" dataDxfId="22" dataCellStyle="Currency">
      <calculatedColumnFormula>INDEX(MonthlyScales50[],MATCH($A3, MonthlyScales50[Title], 0),MATCH("10/1/29", MonthlyScales50[#Headers], 0))*4.5</calculatedColumnFormula>
    </tableColumn>
    <tableColumn id="14" xr3:uid="{27C769DC-2DE6-E649-987F-8D2EAEB794CB}" name="Summer 2030" dataDxfId="21" dataCellStyle="Currency">
      <calculatedColumnFormula>INDEX(MonthlyScales50[],MATCH($A3, MonthlyScales50[Title], 0),MATCH("10/1/29", MonthlyScales50[#Headers], 0))*3</calculatedColumnFormula>
    </tableColumn>
    <tableColumn id="15" xr3:uid="{F2D7A02B-96E3-DE4F-90F5-8C19A1FF36C7}" name="Fall 2030" dataDxfId="20" dataCellStyle="Currency">
      <calculatedColumnFormula>INDEX(MonthlyScales50[],MATCH($A3, MonthlyScales50[Title], 0),MATCH("10/1/29", MonthlyScales50[#Headers], 0))*1.5+INDEX(MonthlyScales50[],MATCH($A3, MonthlyScales50[Title], 0),MATCH("10/1/30", MonthlyScales50[#Headers], 0))*3</calculatedColumnFormula>
    </tableColumn>
    <tableColumn id="16" xr3:uid="{B51F9992-3763-8748-95D5-5B37243781CC}" name="Spring 2031" dataDxfId="19" dataCellStyle="Currency">
      <calculatedColumnFormula>INDEX(MonthlyScales50[],MATCH($A3, MonthlyScales50[Title], 0),MATCH("10/1/30", MonthlyScales50[#Headers], 0))*4.5</calculatedColumnFormula>
    </tableColumn>
    <tableColumn id="17" xr3:uid="{942CEBDB-E23F-204D-8D65-1267B5973913}" name="Summer 2031" dataDxfId="18" dataCellStyle="Currency">
      <calculatedColumnFormula>INDEX(MonthlyScales50[],MATCH($A3, MonthlyScales50[Title], 0),MATCH("10/1/30", MonthlyScales50[#Headers], 0))*3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A34D1C-3F66-BE42-90F4-B3FFE8BEA116}" name="tuitionAndFees" displayName="tuitionAndFees" ref="A2:Q8" totalsRowShown="0" headerRowDxfId="17">
  <autoFilter ref="A2:Q8" xr:uid="{1FA34D1C-3F66-BE42-90F4-B3FFE8BEA116}"/>
  <tableColumns count="17">
    <tableColumn id="1" xr3:uid="{18998517-7B22-5844-B4A0-6BADF1AD9AB4}" name="Item" dataDxfId="16"/>
    <tableColumn id="14" xr3:uid="{0B337DA0-EAE7-7F47-A851-667978981C20}" name="Summer 2026" dataDxfId="15" dataCellStyle="Currency"/>
    <tableColumn id="2" xr3:uid="{0C38EEA4-3A91-294D-9855-BCB1E66F7F55}" name="Fall 2026" dataDxfId="14"/>
    <tableColumn id="3" xr3:uid="{044D3DF9-6A94-CE49-B0CB-E2388EC28268}" name="Spring 2027" dataDxfId="13"/>
    <tableColumn id="4" xr3:uid="{F035FB0B-7124-D646-B3C1-0E81B15F5586}" name="Summer 2027" dataDxfId="12"/>
    <tableColumn id="5" xr3:uid="{8632154B-EB82-BF4A-B4BE-8F3E833A3F88}" name="Fall 2027" dataDxfId="11"/>
    <tableColumn id="6" xr3:uid="{D08D6EC5-6BAB-6743-9CC3-A7D462211BAA}" name="Spring 2028" dataDxfId="10"/>
    <tableColumn id="7" xr3:uid="{BB2C0241-909D-6C4B-9082-E20EABD0D986}" name="Summer 2028" dataDxfId="9"/>
    <tableColumn id="8" xr3:uid="{3C6EC9D1-0B2D-8743-AA66-772707D20ACD}" name="Fall 2028" dataDxfId="8"/>
    <tableColumn id="9" xr3:uid="{B56148DC-3546-BA4E-95E2-9F9D6C226449}" name="Spring 2029" dataDxfId="7"/>
    <tableColumn id="10" xr3:uid="{799C31AF-FC1A-3F4E-B8A2-4EE5D3E8DA2E}" name="Summer 2029" dataDxfId="6"/>
    <tableColumn id="11" xr3:uid="{17F0C1D5-BB83-3843-87E3-F6CB0D65432D}" name="Fall 2029" dataDxfId="5"/>
    <tableColumn id="12" xr3:uid="{21239BD5-52F1-1C47-9E5A-4B955234EBBC}" name="Spring 2030" dataDxfId="4"/>
    <tableColumn id="13" xr3:uid="{4CDEAC9A-BC8C-154F-9664-3E16245D0377}" name="Summer 2030" dataDxfId="3"/>
    <tableColumn id="15" xr3:uid="{DFDD5C59-F801-5F4E-92EE-A2E73B42B49F}" name="Fall 2030" dataDxfId="2">
      <calculatedColumnFormula>L3*(1+$B11)</calculatedColumnFormula>
    </tableColumn>
    <tableColumn id="16" xr3:uid="{E26C5850-69E7-7A4A-A3E3-4C616DA6D4BB}" name="Spring 2031" dataDxfId="1">
      <calculatedColumnFormula>M3*(1+$B11)</calculatedColumnFormula>
    </tableColumn>
    <tableColumn id="17" xr3:uid="{50CB3E83-4398-4842-A14F-5BE583E1E841}" name="Summer 2031" dataDxfId="0">
      <calculatedColumnFormula>N3*(1+$B11)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EB07-5FAF-A44D-8B5B-7A581AC3BE37}">
  <dimension ref="A1:H22"/>
  <sheetViews>
    <sheetView tabSelected="1" zoomScale="130" zoomScaleNormal="130" workbookViewId="0">
      <selection activeCell="B5" sqref="B5"/>
    </sheetView>
  </sheetViews>
  <sheetFormatPr baseColWidth="10" defaultColWidth="11" defaultRowHeight="16" x14ac:dyDescent="0.2"/>
  <cols>
    <col min="1" max="1" width="26" customWidth="1"/>
    <col min="2" max="5" width="20.83203125" customWidth="1"/>
    <col min="6" max="6" width="20.6640625" customWidth="1"/>
    <col min="7" max="8" width="20.83203125" customWidth="1"/>
  </cols>
  <sheetData>
    <row r="1" spans="1:8" ht="22" x14ac:dyDescent="0.3">
      <c r="A1" s="19" t="s">
        <v>0</v>
      </c>
    </row>
    <row r="3" spans="1:8" x14ac:dyDescent="0.2">
      <c r="A3" s="21" t="s">
        <v>1</v>
      </c>
      <c r="B3" s="34" t="s">
        <v>2</v>
      </c>
    </row>
    <row r="4" spans="1:8" x14ac:dyDescent="0.2">
      <c r="A4" s="21" t="s">
        <v>3</v>
      </c>
      <c r="B4" s="35">
        <v>0.5</v>
      </c>
      <c r="C4" t="str">
        <f>IF(B4&gt;1,"WARNING: Graduate student appointments should not be made above 100% work effort.",IF(B4&gt;0.5,"WARNING: Graduate student appointments are typically appointed at 50% or lower.",""))</f>
        <v/>
      </c>
    </row>
    <row r="5" spans="1:8" x14ac:dyDescent="0.2">
      <c r="A5" s="21" t="s">
        <v>4</v>
      </c>
      <c r="B5" s="34" t="s">
        <v>5</v>
      </c>
    </row>
    <row r="6" spans="1:8" x14ac:dyDescent="0.2">
      <c r="A6" s="21" t="s">
        <v>6</v>
      </c>
      <c r="B6" s="34" t="s">
        <v>5</v>
      </c>
    </row>
    <row r="7" spans="1:8" x14ac:dyDescent="0.2">
      <c r="A7" s="21"/>
      <c r="B7" s="20"/>
    </row>
    <row r="8" spans="1:8" x14ac:dyDescent="0.2">
      <c r="A8" s="21"/>
      <c r="B8" s="20"/>
      <c r="C8" s="18" t="s">
        <v>7</v>
      </c>
      <c r="D8" s="18" t="s">
        <v>8</v>
      </c>
      <c r="E8" s="18" t="s">
        <v>9</v>
      </c>
      <c r="F8" s="18" t="s">
        <v>10</v>
      </c>
      <c r="G8" s="18" t="s">
        <v>11</v>
      </c>
    </row>
    <row r="9" spans="1:8" x14ac:dyDescent="0.2">
      <c r="A9" s="21" t="s">
        <v>12</v>
      </c>
      <c r="B9" s="21" t="s">
        <v>13</v>
      </c>
      <c r="C9" s="34" t="s">
        <v>14</v>
      </c>
      <c r="D9" s="34" t="s">
        <v>5</v>
      </c>
      <c r="E9" s="34" t="s">
        <v>5</v>
      </c>
      <c r="F9" s="34" t="s">
        <v>5</v>
      </c>
      <c r="G9" s="34" t="s">
        <v>5</v>
      </c>
    </row>
    <row r="10" spans="1:8" x14ac:dyDescent="0.2">
      <c r="A10" s="21"/>
      <c r="B10" s="21" t="s">
        <v>15</v>
      </c>
      <c r="C10" s="34" t="s">
        <v>5</v>
      </c>
      <c r="D10" s="34" t="s">
        <v>5</v>
      </c>
      <c r="E10" s="34" t="s">
        <v>5</v>
      </c>
      <c r="F10" s="34" t="s">
        <v>5</v>
      </c>
      <c r="G10" s="34" t="s">
        <v>5</v>
      </c>
    </row>
    <row r="11" spans="1:8" x14ac:dyDescent="0.2">
      <c r="A11" s="21"/>
      <c r="B11" s="21" t="s">
        <v>16</v>
      </c>
      <c r="C11" s="34" t="s">
        <v>5</v>
      </c>
      <c r="D11" s="34" t="s">
        <v>5</v>
      </c>
      <c r="E11" s="34" t="s">
        <v>5</v>
      </c>
      <c r="F11" s="34" t="s">
        <v>5</v>
      </c>
      <c r="G11" s="34" t="s">
        <v>5</v>
      </c>
    </row>
    <row r="14" spans="1:8" ht="17" thickBot="1" x14ac:dyDescent="0.25"/>
    <row r="15" spans="1:8" ht="18" thickTop="1" thickBot="1" x14ac:dyDescent="0.25">
      <c r="A15" s="32" t="s">
        <v>17</v>
      </c>
      <c r="B15" s="32" t="s">
        <v>18</v>
      </c>
      <c r="C15" s="32" t="s">
        <v>19</v>
      </c>
      <c r="D15" s="32" t="s">
        <v>20</v>
      </c>
      <c r="E15" s="32" t="s">
        <v>21</v>
      </c>
      <c r="F15" s="32" t="s">
        <v>22</v>
      </c>
      <c r="G15" s="32" t="s">
        <v>23</v>
      </c>
      <c r="H15" s="32" t="s">
        <v>24</v>
      </c>
    </row>
    <row r="16" spans="1:8" x14ac:dyDescent="0.2">
      <c r="A16" t="s">
        <v>7</v>
      </c>
      <c r="B16" t="str">
        <f>Scatch!B4</f>
        <v>TA I</v>
      </c>
      <c r="C16" s="15">
        <f>SUM(D16:H16)</f>
        <v>19439.5784475</v>
      </c>
      <c r="D16" s="15">
        <f>Scatch!B21+Scatch!B28+Scatch!B35</f>
        <v>18193.334999999999</v>
      </c>
      <c r="E16" s="15">
        <f>Scatch!B22+Scatch!B29+Scatch!B36</f>
        <v>1246.2434475</v>
      </c>
      <c r="F16" s="15">
        <f>IF($B$5="Yes",Scatch!B23+Scatch!B30+Scatch!B37,0)</f>
        <v>0</v>
      </c>
      <c r="G16" s="15">
        <f>IF($B$5="Yes",Scatch!B24+Scatch!B31+Scatch!B38,0)</f>
        <v>0</v>
      </c>
      <c r="H16" s="15">
        <f>IF($B$6="Yes",(D16+E16)*Scatch!B41,0)</f>
        <v>0</v>
      </c>
    </row>
    <row r="17" spans="1:8" x14ac:dyDescent="0.2">
      <c r="A17" t="s">
        <v>8</v>
      </c>
      <c r="B17" t="str">
        <f>Scatch!C4</f>
        <v>TA II</v>
      </c>
      <c r="C17" s="15">
        <f>SUM(D17:H17)</f>
        <v>0</v>
      </c>
      <c r="D17" s="12">
        <f>Scatch!C21+Scatch!C28+Scatch!C35</f>
        <v>0</v>
      </c>
      <c r="E17" s="12">
        <f>Scatch!C22+Scatch!C29+Scatch!C36</f>
        <v>0</v>
      </c>
      <c r="F17" s="15">
        <f>IF($B$5="Yes",Scatch!C23+Scatch!C30+Scatch!C37,0)</f>
        <v>0</v>
      </c>
      <c r="G17" s="15">
        <f>IF($B$5="Yes",Scatch!C24+Scatch!C31+Scatch!C38,0)</f>
        <v>0</v>
      </c>
      <c r="H17" s="15">
        <f>IF($B$6="Yes",(D17+E17)*Scatch!C41,0)</f>
        <v>0</v>
      </c>
    </row>
    <row r="18" spans="1:8" x14ac:dyDescent="0.2">
      <c r="A18" t="s">
        <v>9</v>
      </c>
      <c r="B18" t="str">
        <f>Scatch!D4</f>
        <v>TA III</v>
      </c>
      <c r="C18" s="15">
        <f t="shared" ref="C18:C20" si="0">SUM(D18:H18)</f>
        <v>0</v>
      </c>
      <c r="D18" s="12">
        <f>Scatch!D21+Scatch!D28+Scatch!D35</f>
        <v>0</v>
      </c>
      <c r="E18" s="12">
        <f>Scatch!D22+Scatch!D29+Scatch!D36</f>
        <v>0</v>
      </c>
      <c r="F18" s="15">
        <f>IF($B$5="Yes",Scatch!D23+Scatch!D30+Scatch!D37,0)</f>
        <v>0</v>
      </c>
      <c r="G18" s="15">
        <f>IF($B$5="Yes",Scatch!D24+Scatch!D31+Scatch!D38,0)</f>
        <v>0</v>
      </c>
      <c r="H18" s="15">
        <f>IF($B$6="Yes",(D18+E18)*Scatch!D41,0)</f>
        <v>0</v>
      </c>
    </row>
    <row r="19" spans="1:8" x14ac:dyDescent="0.2">
      <c r="A19" t="s">
        <v>10</v>
      </c>
      <c r="B19" t="str">
        <f>Scatch!E4</f>
        <v>TA III</v>
      </c>
      <c r="C19" s="15">
        <f t="shared" si="0"/>
        <v>0</v>
      </c>
      <c r="D19" s="12">
        <f>Scatch!E21+Scatch!E28+Scatch!E35</f>
        <v>0</v>
      </c>
      <c r="E19" s="12">
        <f>Scatch!E22+Scatch!E29+Scatch!E36</f>
        <v>0</v>
      </c>
      <c r="F19" s="15">
        <f>IF($B$5="Yes",Scatch!E23+Scatch!E30+Scatch!E37,0)</f>
        <v>0</v>
      </c>
      <c r="G19" s="15">
        <f>IF($B$5="Yes",Scatch!E24+Scatch!E31+Scatch!E38,0)</f>
        <v>0</v>
      </c>
      <c r="H19" s="15">
        <f>IF($B$6="Yes",(D19+E19)*Scatch!E41,0)</f>
        <v>0</v>
      </c>
    </row>
    <row r="20" spans="1:8" ht="17" thickBot="1" x14ac:dyDescent="0.25">
      <c r="A20" t="s">
        <v>11</v>
      </c>
      <c r="B20" t="str">
        <f>Scatch!F4</f>
        <v>TA III</v>
      </c>
      <c r="C20" s="15">
        <f t="shared" si="0"/>
        <v>0</v>
      </c>
      <c r="D20" s="12">
        <f>Scatch!F21+Scatch!F28+Scatch!F35</f>
        <v>0</v>
      </c>
      <c r="E20" s="12">
        <f>Scatch!F22+Scatch!F29+Scatch!F36</f>
        <v>0</v>
      </c>
      <c r="F20" s="15">
        <f>IF($B$5="Yes",Scatch!F23+Scatch!F30+Scatch!F37,0)</f>
        <v>0</v>
      </c>
      <c r="G20" s="15">
        <f>IF($B$5="Yes",Scatch!F24+Scatch!F31+Scatch!F38,0)</f>
        <v>0</v>
      </c>
      <c r="H20" s="15">
        <f>IF($B$6="Yes",(D20+E20)*Scatch!F41,0)</f>
        <v>0</v>
      </c>
    </row>
    <row r="21" spans="1:8" ht="18" thickTop="1" thickBot="1" x14ac:dyDescent="0.25">
      <c r="A21" s="30" t="s">
        <v>25</v>
      </c>
      <c r="B21" s="30"/>
      <c r="C21" s="31">
        <f>SUM(C16:C20)</f>
        <v>19439.5784475</v>
      </c>
      <c r="D21" s="31">
        <f t="shared" ref="D21:H21" si="1">SUM(D16:D20)</f>
        <v>18193.334999999999</v>
      </c>
      <c r="E21" s="31">
        <f t="shared" si="1"/>
        <v>1246.2434475</v>
      </c>
      <c r="F21" s="31">
        <f t="shared" si="1"/>
        <v>0</v>
      </c>
      <c r="G21" s="31">
        <f t="shared" si="1"/>
        <v>0</v>
      </c>
      <c r="H21" s="31">
        <f t="shared" si="1"/>
        <v>0</v>
      </c>
    </row>
    <row r="22" spans="1:8" ht="17" thickTop="1" x14ac:dyDescent="0.2"/>
  </sheetData>
  <dataValidations count="8">
    <dataValidation type="decimal" operator="greaterThanOrEqual" allowBlank="1" showInputMessage="1" showErrorMessage="1" errorTitle="Negative FTE!" error="FTE value must be positive." promptTitle="FTE" prompt="Enter an appointment FTE as a percentage. Typically, graduate student appointments in ASE and GSR positions are made at 50%." sqref="B4" xr:uid="{4E33E116-5F9B-524E-BAAC-E14B700D1A5A}">
      <formula1>0</formula1>
    </dataValidation>
    <dataValidation type="list" allowBlank="1" showInputMessage="1" showErrorMessage="1" sqref="B4" xr:uid="{35091F46-A084-FE40-8B5A-B838E27161F9}">
      <formula1>"50%,25%,16.5%,75%,100%"</formula1>
    </dataValidation>
    <dataValidation type="list" allowBlank="1" showInputMessage="1" showErrorMessage="1" sqref="B7:B8 C9:G11" xr:uid="{4B757D77-563E-F94D-84B2-3BEB8D3F33BC}">
      <formula1>"Yes,No"</formula1>
    </dataValidation>
    <dataValidation type="list" allowBlank="1" showInputMessage="1" showErrorMessage="1" promptTitle="Appointment Type" prompt="Use the pull-down menu to select the appointment type of interest." sqref="B7:B8" xr:uid="{129EF7AB-F649-9F46-89D5-D759EF377A14}">
      <formula1>"Yes,No"</formula1>
    </dataValidation>
    <dataValidation type="list" allowBlank="1" showInputMessage="1" showErrorMessage="1" promptTitle="Appointment Type" prompt="Use the pull-down menu to select the appointment type of interest." sqref="B3" xr:uid="{9F5429C8-3F75-384B-9C22-4575AAAB5536}">
      <formula1>"TA I,TA II,TA III,GSR I,GSR II,GSR III,GSR IV,GSR V,GSR VI,AI I, AI II, AI III, AI IV, AI V, AI VI, AI VII"</formula1>
    </dataValidation>
    <dataValidation type="list" allowBlank="1" showInputMessage="1" showErrorMessage="1" errorTitle="Invalid Response" error="This value must be Yes or No." promptTitle="Include Tution &amp; Fees" prompt="Select Yes to include tution and fees in the calculations below. Selecting No will lead the calculator to ignore tuition and fees in the calculations below." sqref="B5" xr:uid="{495BFFC6-40F0-2F46-96CE-DBBA394FDBB0}">
      <formula1>"Yes,No"</formula1>
    </dataValidation>
    <dataValidation type="list" allowBlank="1" showInputMessage="1" showErrorMessage="1" errorTitle="Invalid Response" error="This value must be Yes or No." promptTitle="Appointment Type" prompt="Use the pull-down menu to select the appointment type of interest." sqref="B5:B6" xr:uid="{78A8A20E-45BE-EF4E-88A9-94041F06E095}">
      <formula1>"Yes,No"</formula1>
    </dataValidation>
    <dataValidation type="list" allowBlank="1" showInputMessage="1" showErrorMessage="1" errorTitle="Invalid Response" error="This value must be Yes or No." promptTitle="Include Tution &amp; Fees" prompt="Select Yes to include Indirect Cost charges of 58.5% to the appointment salary, CBR, and GAEL components of the appointment. IDC should NOT typically be applied to TA or AI appointments." sqref="B6" xr:uid="{5673EF40-9070-7D42-929E-C90D8D74D52B}">
      <formula1>"Yes,No"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EB9DB-7394-B94A-9ED4-55A3779E0AA3}">
  <dimension ref="A1:G41"/>
  <sheetViews>
    <sheetView topLeftCell="A10" workbookViewId="0">
      <selection activeCell="A24" sqref="A24"/>
    </sheetView>
  </sheetViews>
  <sheetFormatPr baseColWidth="10" defaultColWidth="11" defaultRowHeight="16" x14ac:dyDescent="0.2"/>
  <cols>
    <col min="1" max="1" width="21.6640625" bestFit="1" customWidth="1"/>
    <col min="2" max="3" width="11.6640625" bestFit="1" customWidth="1"/>
    <col min="4" max="4" width="18.83203125" customWidth="1"/>
    <col min="5" max="6" width="11.5" bestFit="1" customWidth="1"/>
  </cols>
  <sheetData>
    <row r="1" spans="1:7" ht="19" x14ac:dyDescent="0.25">
      <c r="A1" s="22" t="s">
        <v>26</v>
      </c>
    </row>
    <row r="3" spans="1:7" x14ac:dyDescent="0.2">
      <c r="B3" s="18" t="s">
        <v>7</v>
      </c>
      <c r="C3" s="18" t="s">
        <v>8</v>
      </c>
      <c r="D3" s="18" t="s">
        <v>9</v>
      </c>
      <c r="E3" s="18" t="s">
        <v>10</v>
      </c>
      <c r="F3" s="18" t="s">
        <v>11</v>
      </c>
    </row>
    <row r="4" spans="1:7" x14ac:dyDescent="0.2">
      <c r="A4" s="18" t="s">
        <v>27</v>
      </c>
      <c r="B4" t="str">
        <f>CALCULATOR!B3</f>
        <v>TA I</v>
      </c>
      <c r="C4" t="str">
        <f>_xlfn.LET(_xlpm.title,_xlfn.TEXTBEFORE(B4," "),_xlpm.lvl,_xlfn.ARABIC(_xlfn.TEXTAFTER(B4," ")),_xlpm.title&amp;" "&amp;ROMAN(IF(_xlpm.lvl&lt;3,_xlpm.lvl+1,_xlpm.lvl)))</f>
        <v>TA II</v>
      </c>
      <c r="D4" t="str">
        <f>_xlfn.LET(_xlpm.title,_xlfn.TEXTBEFORE(C4," "),_xlpm.lvl,_xlfn.ARABIC(_xlfn.TEXTAFTER(C4," ")),_xlpm.title&amp;" "&amp;ROMAN(IF(_xlpm.lvl&lt;3,_xlpm.lvl+1,_xlpm.lvl)))</f>
        <v>TA III</v>
      </c>
      <c r="E4" t="str">
        <f>_xlfn.LET(_xlpm.title,_xlfn.TEXTBEFORE(D4," "),_xlpm.lvl,_xlfn.ARABIC(_xlfn.TEXTAFTER(D4," ")),_xlpm.title&amp;" "&amp;ROMAN(IF(_xlpm.lvl&lt;3,_xlpm.lvl+1,_xlpm.lvl)))</f>
        <v>TA III</v>
      </c>
      <c r="F4" t="str">
        <f>_xlfn.LET(_xlpm.title,_xlfn.TEXTBEFORE(E4," "),_xlpm.lvl,_xlfn.ARABIC(_xlfn.TEXTAFTER(E4," ")),_xlpm.title&amp;" "&amp;ROMAN(IF(_xlpm.lvl&lt;3,_xlpm.lvl+1,_xlpm.lvl)))</f>
        <v>TA III</v>
      </c>
    </row>
    <row r="5" spans="1:7" x14ac:dyDescent="0.2">
      <c r="B5" t="str">
        <f>B4&amp;" Salary"</f>
        <v>TA I Salary</v>
      </c>
      <c r="C5" t="str" cm="1">
        <f t="array" ref="C5">_xlfn.LET(_xlpm.parts,_xlfn.TEXTSPLIT(B5," "),_xlpm.title,INDEX(_xlpm.parts,1),_xlpm.lvl,_xlfn.ARABIC(INDEX(_xlpm.parts,2)),_xlpm.suffix,_xlfn.TEXTJOIN(" ",,_xlfn.DROP(_xlpm.parts,,2)),_xlpm.title&amp;" "&amp;ROMAN(IF(_xlpm.lvl&lt;3,_xlpm.lvl+1,_xlpm.lvl))&amp;" "&amp;_xlpm.suffix)</f>
        <v>TA II Salary</v>
      </c>
      <c r="D5" t="str" cm="1">
        <f t="array" ref="D5">_xlfn.LET(_xlpm.parts,_xlfn.TEXTSPLIT(C5," "),_xlpm.title,INDEX(_xlpm.parts,1),_xlpm.lvl,_xlfn.ARABIC(INDEX(_xlpm.parts,2)),_xlpm.suffix,_xlfn.TEXTJOIN(" ",,_xlfn.DROP(_xlpm.parts,,2)),_xlpm.title&amp;" "&amp;ROMAN(IF(_xlpm.lvl&lt;3,_xlpm.lvl+1,_xlpm.lvl))&amp;" "&amp;_xlpm.suffix)</f>
        <v>TA III Salary</v>
      </c>
      <c r="E5" t="str" cm="1">
        <f t="array" ref="E5">_xlfn.LET(_xlpm.parts,_xlfn.TEXTSPLIT(D5," "),_xlpm.title,INDEX(_xlpm.parts,1),_xlpm.lvl,_xlfn.ARABIC(INDEX(_xlpm.parts,2)),_xlpm.suffix,_xlfn.TEXTJOIN(" ",,_xlfn.DROP(_xlpm.parts,,2)),_xlpm.title&amp;" "&amp;ROMAN(IF(_xlpm.lvl&lt;3,_xlpm.lvl+1,_xlpm.lvl))&amp;" "&amp;_xlpm.suffix)</f>
        <v>TA III Salary</v>
      </c>
      <c r="F5" t="str" cm="1">
        <f t="array" ref="F5">_xlfn.LET(_xlpm.parts,_xlfn.TEXTSPLIT(E5," "),_xlpm.title,INDEX(_xlpm.parts,1),_xlpm.lvl,_xlfn.ARABIC(INDEX(_xlpm.parts,2)),_xlpm.suffix,_xlfn.TEXTJOIN(" ",,_xlfn.DROP(_xlpm.parts,,2)),_xlpm.title&amp;" "&amp;ROMAN(IF(_xlpm.lvl&lt;3,_xlpm.lvl+1,_xlpm.lvl))&amp;" "&amp;_xlpm.suffix)</f>
        <v>TA III Salary</v>
      </c>
    </row>
    <row r="6" spans="1:7" x14ac:dyDescent="0.2">
      <c r="B6" t="str">
        <f>B4&amp;" CBR &amp; GAEL"</f>
        <v>TA I CBR &amp; GAEL</v>
      </c>
      <c r="C6" t="str" cm="1">
        <f t="array" ref="C6">_xlfn.LET(_xlpm.parts,_xlfn.TEXTSPLIT(B6," "),_xlpm.title,INDEX(_xlpm.parts,1),_xlpm.lvl,_xlfn.ARABIC(INDEX(_xlpm.parts,2)),_xlpm.suffix,_xlfn.TEXTJOIN(" ",,_xlfn.DROP(_xlpm.parts,,2)),_xlpm.title&amp;" "&amp;ROMAN(IF(_xlpm.lvl&lt;3,_xlpm.lvl+1,_xlpm.lvl))&amp;" "&amp;_xlpm.suffix)</f>
        <v>TA II CBR &amp; GAEL</v>
      </c>
      <c r="D6" t="str" cm="1">
        <f t="array" ref="D6">_xlfn.LET(_xlpm.parts,_xlfn.TEXTSPLIT(C6," "),_xlpm.title,INDEX(_xlpm.parts,1),_xlpm.lvl,_xlfn.ARABIC(INDEX(_xlpm.parts,2)),_xlpm.suffix,_xlfn.TEXTJOIN(" ",,_xlfn.DROP(_xlpm.parts,,2)),_xlpm.title&amp;" "&amp;ROMAN(IF(_xlpm.lvl&lt;3,_xlpm.lvl+1,_xlpm.lvl))&amp;" "&amp;_xlpm.suffix)</f>
        <v>TA III CBR &amp; GAEL</v>
      </c>
      <c r="E6" t="str" cm="1">
        <f t="array" ref="E6">_xlfn.LET(_xlpm.parts,_xlfn.TEXTSPLIT(D6," "),_xlpm.title,INDEX(_xlpm.parts,1),_xlpm.lvl,_xlfn.ARABIC(INDEX(_xlpm.parts,2)),_xlpm.suffix,_xlfn.TEXTJOIN(" ",,_xlfn.DROP(_xlpm.parts,,2)),_xlpm.title&amp;" "&amp;ROMAN(IF(_xlpm.lvl&lt;3,_xlpm.lvl+1,_xlpm.lvl))&amp;" "&amp;_xlpm.suffix)</f>
        <v>TA III CBR &amp; GAEL</v>
      </c>
      <c r="F6" t="str" cm="1">
        <f t="array" ref="F6">_xlfn.LET(_xlpm.parts,_xlfn.TEXTSPLIT(E6," "),_xlpm.title,INDEX(_xlpm.parts,1),_xlpm.lvl,_xlfn.ARABIC(INDEX(_xlpm.parts,2)),_xlpm.suffix,_xlfn.TEXTJOIN(" ",,_xlfn.DROP(_xlpm.parts,,2)),_xlpm.title&amp;" "&amp;ROMAN(IF(_xlpm.lvl&lt;3,_xlpm.lvl+1,_xlpm.lvl))&amp;" "&amp;_xlpm.suffix)</f>
        <v>TA III CBR &amp; GAEL</v>
      </c>
    </row>
    <row r="7" spans="1:7" x14ac:dyDescent="0.2">
      <c r="B7" t="str">
        <f>LEFT(B4, FIND(" ", B4) - 1)</f>
        <v>TA</v>
      </c>
    </row>
    <row r="9" spans="1:7" x14ac:dyDescent="0.2">
      <c r="A9" s="18" t="s">
        <v>28</v>
      </c>
      <c r="B9" s="24">
        <v>4.5999999999999999E-2</v>
      </c>
      <c r="C9" s="24">
        <v>4.5999999999999999E-2</v>
      </c>
      <c r="D9" s="24">
        <v>4.5999999999999999E-2</v>
      </c>
      <c r="E9" s="24">
        <v>4.5999999999999999E-2</v>
      </c>
      <c r="F9" s="24">
        <v>4.5999999999999999E-2</v>
      </c>
    </row>
    <row r="10" spans="1:7" x14ac:dyDescent="0.2">
      <c r="A10" s="18" t="s">
        <v>29</v>
      </c>
      <c r="B10" s="24">
        <v>2.2499999999999999E-2</v>
      </c>
      <c r="C10" s="24">
        <v>2.2499999999999999E-2</v>
      </c>
      <c r="D10" s="24">
        <v>2.2499999999999999E-2</v>
      </c>
      <c r="E10" s="24">
        <v>2.2499999999999999E-2</v>
      </c>
      <c r="F10" s="24">
        <v>2.2499999999999999E-2</v>
      </c>
    </row>
    <row r="12" spans="1:7" x14ac:dyDescent="0.2">
      <c r="B12" s="18" t="s">
        <v>7</v>
      </c>
      <c r="C12" s="18" t="s">
        <v>8</v>
      </c>
      <c r="D12" s="18" t="s">
        <v>9</v>
      </c>
      <c r="E12" s="18" t="s">
        <v>10</v>
      </c>
      <c r="F12" s="18" t="s">
        <v>11</v>
      </c>
    </row>
    <row r="13" spans="1:7" x14ac:dyDescent="0.2">
      <c r="A13" s="18" t="s">
        <v>30</v>
      </c>
      <c r="B13" s="13"/>
      <c r="C13" s="13"/>
      <c r="D13" s="13"/>
      <c r="E13" s="13"/>
      <c r="F13" s="13"/>
      <c r="G13" s="13"/>
    </row>
    <row r="14" spans="1:7" x14ac:dyDescent="0.2">
      <c r="A14" t="s">
        <v>31</v>
      </c>
      <c r="B14" s="23">
        <f>IF(CALCULATOR!$C$11="Yes",(CALCULATOR!$B$4/0.5)*INDEX(termScales50[],MATCH(B4,termScales50[Title],0),MATCH("Summer 2026",termScales50[#Headers],0)),0)</f>
        <v>0</v>
      </c>
      <c r="C14" s="23">
        <f>IF(CALCULATOR!$D$11="Yes",(CALCULATOR!$B$4/0.5)*INDEX(termScales50[],MATCH(C4,termScales50[Title],0),MATCH("Summer 2027",termScales50[#Headers],0)),0)</f>
        <v>0</v>
      </c>
      <c r="D14" s="23">
        <f>IF(CALCULATOR!$E$11="Yes",(CALCULATOR!$B$4/0.5)*INDEX(termScales50[],MATCH(D4,termScales50[Title],0),MATCH("Summer 2028",termScales50[#Headers],0)),0)</f>
        <v>0</v>
      </c>
      <c r="E14" s="23">
        <f>IF(CALCULATOR!$F$11="Yes",(CALCULATOR!$B$4/0.5)*INDEX(termScales50[],MATCH(E4,termScales50[Title],0),MATCH("Summer 2029",termScales50[#Headers],0)),0)</f>
        <v>0</v>
      </c>
      <c r="F14" s="23">
        <f>IF(CALCULATOR!$G$11="Yes",(CALCULATOR!$B$4/0.5)*INDEX(termScales50[],MATCH(F4,termScales50[Title],0),MATCH("Summer 2030",termScales50[#Headers],0)),0)</f>
        <v>0</v>
      </c>
      <c r="G14" s="13"/>
    </row>
    <row r="15" spans="1:7" x14ac:dyDescent="0.2">
      <c r="A15" t="s">
        <v>32</v>
      </c>
      <c r="B15" s="25">
        <f>B14*(B$9+B$10)</f>
        <v>0</v>
      </c>
      <c r="C15" s="25">
        <f t="shared" ref="C15:F15" si="0">C14*(C$9+C$10)</f>
        <v>0</v>
      </c>
      <c r="D15" s="25">
        <f t="shared" si="0"/>
        <v>0</v>
      </c>
      <c r="E15" s="25">
        <f t="shared" si="0"/>
        <v>0</v>
      </c>
      <c r="F15" s="25">
        <f t="shared" si="0"/>
        <v>0</v>
      </c>
      <c r="G15" s="13"/>
    </row>
    <row r="16" spans="1:7" x14ac:dyDescent="0.2">
      <c r="A16" t="s">
        <v>22</v>
      </c>
      <c r="B16" s="23">
        <f>IF(CALCULATOR!$C$9="Yes",INDEX(tuitionAndFees[],MATCH("Resident Tuition",tuitionAndFees[Item],0),MATCH("Summer 2026",tuitionAndFees[#Headers],0)),0)</f>
        <v>0</v>
      </c>
      <c r="C16" s="23">
        <f>IF(CALCULATOR!$C$9="Yes",INDEX(tuitionAndFees[],MATCH("Resident Tuition",tuitionAndFees[Item],0),MATCH("Summer 2027",tuitionAndFees[#Headers],0)),0)</f>
        <v>0</v>
      </c>
      <c r="D16" s="23">
        <f>IF(CALCULATOR!$C$9="Yes",INDEX(tuitionAndFees[],MATCH("Resident Tuition",tuitionAndFees[Item],0),MATCH("Summer 2028",tuitionAndFees[#Headers],0)),0)</f>
        <v>0</v>
      </c>
      <c r="E16" s="23">
        <f>IF(CALCULATOR!$C$9="Yes",INDEX(tuitionAndFees[],MATCH("Resident Tuition",tuitionAndFees[Item],0),MATCH("Summer 2029",tuitionAndFees[#Headers],0)),0)</f>
        <v>0</v>
      </c>
      <c r="F16" s="23">
        <f>IF(CALCULATOR!$C$9="Yes",INDEX(tuitionAndFees[],MATCH("Resident Tuition",tuitionAndFees[Item],0),MATCH("Summer 2030",tuitionAndFees[#Headers],0)),0)</f>
        <v>0</v>
      </c>
      <c r="G16" s="13"/>
    </row>
    <row r="17" spans="1:7" x14ac:dyDescent="0.2">
      <c r="A17" t="s">
        <v>23</v>
      </c>
      <c r="B17" s="23">
        <f>IF(CALCULATOR!$C$9="Yes",INDEX(tuitionAndFees[],MATCH("Fees Subtotal",tuitionAndFees[Item],0),MATCH("Summer 2026",tuitionAndFees[#Headers],0)),0)</f>
        <v>0</v>
      </c>
      <c r="C17" s="23">
        <f>IF(CALCULATOR!$C$9="Yes",INDEX(tuitionAndFees[],MATCH("Fees Subtotal",tuitionAndFees[Item],0),MATCH("Summer 2027",tuitionAndFees[#Headers],0)),0)</f>
        <v>0</v>
      </c>
      <c r="D17" s="23">
        <f>IF(CALCULATOR!$C$9="Yes",INDEX(tuitionAndFees[],MATCH("Fees Subtotal",tuitionAndFees[Item],0),MATCH("Summer 2028",tuitionAndFees[#Headers],0)),0)</f>
        <v>0</v>
      </c>
      <c r="E17" s="23">
        <f>IF(CALCULATOR!$C$9="Yes",INDEX(tuitionAndFees[],MATCH("Fees Subtotal",tuitionAndFees[Item],0),MATCH("Summer 2029",tuitionAndFees[#Headers],0)),0)</f>
        <v>0</v>
      </c>
      <c r="F17" s="23">
        <f>IF(CALCULATOR!$C$9="Yes",INDEX(tuitionAndFees[],MATCH("Fees Subtotal",tuitionAndFees[Item],0),MATCH("Summer 2030",tuitionAndFees[#Headers],0)),0)</f>
        <v>0</v>
      </c>
      <c r="G17" s="13"/>
    </row>
    <row r="18" spans="1:7" x14ac:dyDescent="0.2">
      <c r="B18" s="13"/>
      <c r="C18" s="13"/>
      <c r="D18" s="13"/>
      <c r="E18" s="13"/>
      <c r="F18" s="13"/>
      <c r="G18" s="13"/>
    </row>
    <row r="19" spans="1:7" x14ac:dyDescent="0.2">
      <c r="B19" s="18"/>
      <c r="C19" s="18"/>
      <c r="D19" s="18"/>
      <c r="E19" s="18"/>
      <c r="F19" s="18"/>
    </row>
    <row r="20" spans="1:7" x14ac:dyDescent="0.2">
      <c r="A20" s="18" t="s">
        <v>13</v>
      </c>
      <c r="B20" s="23"/>
    </row>
    <row r="21" spans="1:7" x14ac:dyDescent="0.2">
      <c r="A21" t="s">
        <v>31</v>
      </c>
      <c r="B21" s="23">
        <f>IF(CALCULATOR!$C$9="Yes",(CALCULATOR!$B$4/0.5)*INDEX(termScales50[],MATCH(B4,termScales50[Title],0),MATCH("Fall 2026",termScales50[#Headers],0)),0)</f>
        <v>18193.334999999999</v>
      </c>
      <c r="C21" s="23">
        <f>IF(CALCULATOR!$D$9="Yes",(CALCULATOR!$B$4/0.5)*INDEX(termScales50[],MATCH(C4,termScales50[Title],0),MATCH("Fall 2027",termScales50[#Headers],0)),0)</f>
        <v>0</v>
      </c>
      <c r="D21" s="23">
        <f>IF(CALCULATOR!$E$9="Yes",(CALCULATOR!$B$4/0.5)*INDEX(termScales50[],MATCH(D4,termScales50[Title],0),MATCH("Fall 2028",termScales50[#Headers],0)),0)</f>
        <v>0</v>
      </c>
      <c r="E21" s="23">
        <f>IF(CALCULATOR!$F$9="Yes",(CALCULATOR!$B$4/0.5)*INDEX(termScales50[],MATCH(E4,termScales50[Title],0),MATCH("Fall 2029",termScales50[#Headers],0)),0)</f>
        <v>0</v>
      </c>
      <c r="F21" s="23">
        <f>IF(CALCULATOR!$G$9="Yes",(CALCULATOR!$B$4/0.5)*INDEX(termScales50[],MATCH(F4,termScales50[Title],0),MATCH("Fall 2030",termScales50[#Headers],0)),0)</f>
        <v>0</v>
      </c>
    </row>
    <row r="22" spans="1:7" x14ac:dyDescent="0.2">
      <c r="A22" t="s">
        <v>32</v>
      </c>
      <c r="B22" s="25">
        <f>B21*(B$9+B$10)</f>
        <v>1246.2434475</v>
      </c>
      <c r="C22" s="25">
        <f t="shared" ref="C22:F22" si="1">C21*(C$9+C$10)</f>
        <v>0</v>
      </c>
      <c r="D22" s="25">
        <f t="shared" si="1"/>
        <v>0</v>
      </c>
      <c r="E22" s="25">
        <f t="shared" si="1"/>
        <v>0</v>
      </c>
      <c r="F22" s="25">
        <f t="shared" si="1"/>
        <v>0</v>
      </c>
    </row>
    <row r="23" spans="1:7" x14ac:dyDescent="0.2">
      <c r="A23" t="s">
        <v>22</v>
      </c>
      <c r="B23" s="23">
        <f>IF(CALCULATOR!$C$9="Yes",INDEX(tuitionAndFees[],MATCH("Resident Tuition",tuitionAndFees[Item],0),MATCH("Fall 2026",tuitionAndFees[#Headers],0)),0)</f>
        <v>6861</v>
      </c>
      <c r="C23" s="23">
        <f>IF(CALCULATOR!$D$9="Yes",INDEX(tuitionAndFees[],MATCH("Resident Tuition",tuitionAndFees[Item],0),MATCH("Fall 2027",tuitionAndFees[#Headers],0)),0)</f>
        <v>0</v>
      </c>
      <c r="D23" s="23">
        <f>IF(CALCULATOR!$E$9="Yes",INDEX(tuitionAndFees[],MATCH("Resident Tuition",tuitionAndFees[Item],0),MATCH("Fall 2028",tuitionAndFees[#Headers],0)),0)</f>
        <v>0</v>
      </c>
      <c r="E23" s="23">
        <f>IF(CALCULATOR!$F$9="Yes",INDEX(tuitionAndFees[],MATCH("Resident Tuition",tuitionAndFees[Item],0),MATCH("Fall 2029",tuitionAndFees[#Headers],0)),0)</f>
        <v>0</v>
      </c>
      <c r="F23" s="23">
        <f>IF(CALCULATOR!$G$9="Yes",INDEX(tuitionAndFees[],MATCH("Resident Tuition",tuitionAndFees[Item],0),MATCH("Fall 2030",tuitionAndFees[#Headers],0)),0)</f>
        <v>0</v>
      </c>
    </row>
    <row r="24" spans="1:7" x14ac:dyDescent="0.2">
      <c r="A24" t="s">
        <v>23</v>
      </c>
      <c r="B24" s="23">
        <f>IF(CALCULATOR!$C$9="Yes",INDEX(tuitionAndFees[],MATCH("Fees Subtotal",tuitionAndFees[Item],0),MATCH("Fall 2026",tuitionAndFees[#Headers],0)),0)</f>
        <v>3448.26</v>
      </c>
      <c r="C24" s="23">
        <f>IF(CALCULATOR!$D$9="Yes",INDEX(tuitionAndFees[],MATCH("Fees Subtotal",tuitionAndFees[Item],0),MATCH("Fall 2027",tuitionAndFees[#Headers],0)),0)</f>
        <v>0</v>
      </c>
      <c r="D24" s="23">
        <f>IF(CALCULATOR!$E$9="Yes",INDEX(tuitionAndFees[],MATCH("Fees Subtotal",tuitionAndFees[Item],0),MATCH("Fall 2028",tuitionAndFees[#Headers],0)),0)</f>
        <v>0</v>
      </c>
      <c r="E24" s="23">
        <f>IF(CALCULATOR!$F$9="Yes",INDEX(tuitionAndFees[],MATCH("Fees Subtotal",tuitionAndFees[Item],0),MATCH("Fall 2029",tuitionAndFees[#Headers],0)),0)</f>
        <v>0</v>
      </c>
      <c r="F24" s="23">
        <f>IF(CALCULATOR!$G$9="Yes",INDEX(tuitionAndFees[],MATCH("Fees Subtotal",tuitionAndFees[Item],0),MATCH("Fall 2030",tuitionAndFees[#Headers],0)),0)</f>
        <v>0</v>
      </c>
    </row>
    <row r="27" spans="1:7" x14ac:dyDescent="0.2">
      <c r="A27" s="18" t="s">
        <v>15</v>
      </c>
    </row>
    <row r="28" spans="1:7" x14ac:dyDescent="0.2">
      <c r="A28" t="s">
        <v>31</v>
      </c>
      <c r="B28" s="23">
        <f>IF(CALCULATOR!$C$10="Yes",(CALCULATOR!$B$4/0.5)*INDEX(termScales50[],MATCH(B4,termScales50[Title],0),MATCH("Spring 2027",termScales50[#Headers],0)),0)</f>
        <v>0</v>
      </c>
      <c r="C28" s="23">
        <f>IF(CALCULATOR!$D$10="Yes",(CALCULATOR!$B$4/0.5)*INDEX(termScales50[],MATCH(C4,termScales50[Title],0),MATCH("Spring 2028",termScales50[#Headers],0)),0)</f>
        <v>0</v>
      </c>
      <c r="D28" s="23">
        <f>IF(CALCULATOR!$E$10="Yes",(CALCULATOR!$B$4/0.5)*INDEX(termScales50[],MATCH(D4,termScales50[Title],0),MATCH("Spring 2029",termScales50[#Headers],0)),0)</f>
        <v>0</v>
      </c>
      <c r="E28" s="23">
        <f>IF(CALCULATOR!$F$10="Yes",(CALCULATOR!$B$4/0.5)*INDEX(termScales50[],MATCH(E4,termScales50[Title],0),MATCH("Spring 2030",termScales50[#Headers],0)),0)</f>
        <v>0</v>
      </c>
      <c r="F28" s="23">
        <f>IF(CALCULATOR!$G$10="Yes",(CALCULATOR!$B$4/0.5)*INDEX(termScales50[],MATCH(F4,termScales50[Title],0),MATCH("Spring 2031",termScales50[#Headers],0)),0)</f>
        <v>0</v>
      </c>
    </row>
    <row r="29" spans="1:7" x14ac:dyDescent="0.2">
      <c r="A29" t="s">
        <v>32</v>
      </c>
      <c r="B29" s="25">
        <f>B28*(B$9+B$10)</f>
        <v>0</v>
      </c>
      <c r="C29" s="25">
        <f>C28*(C$9+C$10)</f>
        <v>0</v>
      </c>
      <c r="D29" s="25">
        <f>D28*(D$9+D$10)</f>
        <v>0</v>
      </c>
      <c r="E29" s="25">
        <f>E28*(E$9+E$10)</f>
        <v>0</v>
      </c>
      <c r="F29" s="25">
        <f>F28*(F$9+F$10)</f>
        <v>0</v>
      </c>
    </row>
    <row r="30" spans="1:7" x14ac:dyDescent="0.2">
      <c r="A30" t="s">
        <v>22</v>
      </c>
      <c r="B30" s="23">
        <f>IF(CALCULATOR!$C$10="Yes",INDEX(tuitionAndFees[],MATCH("Resident Tuition",tuitionAndFees[Item],0),MATCH("Spring 2027",tuitionAndFees[#Headers],0)),0)</f>
        <v>0</v>
      </c>
      <c r="C30" s="23">
        <f>IF(CALCULATOR!$D$10="Yes",INDEX(tuitionAndFees[],MATCH("Resident Tuition",tuitionAndFees[Item],0),MATCH("Spring 2027",tuitionAndFees[#Headers],0)),0)</f>
        <v>0</v>
      </c>
      <c r="D30" s="23">
        <f>IF(CALCULATOR!$E$10="Yes",INDEX(tuitionAndFees[],MATCH("Resident Tuition",tuitionAndFees[Item],0),MATCH("Spring 2027",tuitionAndFees[#Headers],0)),0)</f>
        <v>0</v>
      </c>
      <c r="E30" s="23">
        <f>IF(CALCULATOR!$F$10="Yes",INDEX(tuitionAndFees[],MATCH("Resident Tuition",tuitionAndFees[Item],0),MATCH("Spring 2027",tuitionAndFees[#Headers],0)),0)</f>
        <v>0</v>
      </c>
      <c r="F30" s="23">
        <f>IF(CALCULATOR!$G$9="Yes",INDEX(tuitionAndFees[],MATCH("Resident Tuition",tuitionAndFees[Item],0),MATCH("Spring 2027",tuitionAndFees[#Headers],0)),0)</f>
        <v>0</v>
      </c>
    </row>
    <row r="31" spans="1:7" x14ac:dyDescent="0.2">
      <c r="A31" t="s">
        <v>23</v>
      </c>
      <c r="B31" s="23">
        <f>IF(CALCULATOR!$C$10="Yes",INDEX(tuitionAndFees[],MATCH("Fees Subtotal",tuitionAndFees[Item],0),MATCH("Spring 2027",tuitionAndFees[#Headers],0)),0)</f>
        <v>0</v>
      </c>
      <c r="C31" s="23">
        <f>IF(CALCULATOR!$D$10="Yes",INDEX(tuitionAndFees[],MATCH("Fees Subtotal",tuitionAndFees[Item],0),MATCH("Spring 2027",tuitionAndFees[#Headers],0)),0)</f>
        <v>0</v>
      </c>
      <c r="D31" s="23">
        <f>IF(CALCULATOR!$E$10="Yes",INDEX(tuitionAndFees[],MATCH("Fees Subtotal",tuitionAndFees[Item],0),MATCH("Spring 2027",tuitionAndFees[#Headers],0)),0)</f>
        <v>0</v>
      </c>
      <c r="E31" s="23">
        <f>IF(CALCULATOR!$F$10="Yes",INDEX(tuitionAndFees[],MATCH("Fees Subtotal",tuitionAndFees[Item],0),MATCH("Spring 2027",tuitionAndFees[#Headers],0)),0)</f>
        <v>0</v>
      </c>
      <c r="F31" s="23">
        <f>IF(CALCULATOR!$G$9="Yes",INDEX(tuitionAndFees[],MATCH("Fees Subtotal",tuitionAndFees[Item],0),MATCH("Spring 2027",tuitionAndFees[#Headers],0)),0)</f>
        <v>0</v>
      </c>
    </row>
    <row r="34" spans="1:6" x14ac:dyDescent="0.2">
      <c r="A34" s="18" t="s">
        <v>33</v>
      </c>
    </row>
    <row r="35" spans="1:6" x14ac:dyDescent="0.2">
      <c r="A35" t="s">
        <v>31</v>
      </c>
      <c r="B35" s="23">
        <f>IF(CALCULATOR!$C$11="Yes",(CALCULATOR!$B$4/0.5)*INDEX(termScales50[],MATCH(B4,termScales50[Title],0),MATCH("Summer 2027",termScales50[#Headers],0)),0)</f>
        <v>0</v>
      </c>
      <c r="C35" s="23">
        <f>IF(CALCULATOR!$D$11="Yes",(CALCULATOR!$B$4/0.5)*INDEX(termScales50[],MATCH(C4,termScales50[Title],0),MATCH("Summer 2028",termScales50[#Headers],0)),0)</f>
        <v>0</v>
      </c>
      <c r="D35" s="23">
        <f>IF(CALCULATOR!$E$11="Yes",(CALCULATOR!$B$4/0.5)*INDEX(termScales50[],MATCH(D4,termScales50[Title],0),MATCH("Summer 2029",termScales50[#Headers],0)),0)</f>
        <v>0</v>
      </c>
      <c r="E35" s="23">
        <f>IF(CALCULATOR!$F$11="Yes",(CALCULATOR!$B$4/0.5)*INDEX(termScales50[],MATCH(E4,termScales50[Title],0),MATCH("Summer 2030",termScales50[#Headers],0)),0)</f>
        <v>0</v>
      </c>
      <c r="F35" s="23">
        <f>IF(CALCULATOR!$G$11="Yes",(CALCULATOR!$B$4/0.5)*INDEX(termScales50[],MATCH(F4,termScales50[Title],0),MATCH("Summer 2031",termScales50[#Headers],0)),0)</f>
        <v>0</v>
      </c>
    </row>
    <row r="36" spans="1:6" x14ac:dyDescent="0.2">
      <c r="A36" t="s">
        <v>32</v>
      </c>
      <c r="B36" s="25">
        <f>B35*(B$9+B$10)</f>
        <v>0</v>
      </c>
      <c r="C36" s="25">
        <f t="shared" ref="C36:F36" si="2">C35*(C$9+C$10)</f>
        <v>0</v>
      </c>
      <c r="D36" s="25">
        <f t="shared" si="2"/>
        <v>0</v>
      </c>
      <c r="E36" s="25">
        <f t="shared" si="2"/>
        <v>0</v>
      </c>
      <c r="F36" s="25">
        <f t="shared" si="2"/>
        <v>0</v>
      </c>
    </row>
    <row r="37" spans="1:6" x14ac:dyDescent="0.2">
      <c r="A37" t="s">
        <v>22</v>
      </c>
      <c r="B37" s="23">
        <f>IF(CALCULATOR!$C$9="Yes",INDEX(tuitionAndFees[],MATCH("Resident Tuition",tuitionAndFees[Item],0),MATCH("Summer 2027",tuitionAndFees[#Headers],0)),0)</f>
        <v>0</v>
      </c>
      <c r="C37" s="23">
        <f>IF(CALCULATOR!$D$9="Yes",INDEX(tuitionAndFees[],MATCH("Resident Tuition",tuitionAndFees[Item],0),MATCH("Summer 2028",tuitionAndFees[#Headers],0)),0)</f>
        <v>0</v>
      </c>
      <c r="D37" s="23">
        <f>IF(CALCULATOR!$D$9="Yes",INDEX(tuitionAndFees[],MATCH("Resident Tuition",tuitionAndFees[Item],0),MATCH("Summer 2029",tuitionAndFees[#Headers],0)),0)</f>
        <v>0</v>
      </c>
      <c r="E37" s="23">
        <f>IF(CALCULATOR!$D$9="Yes",INDEX(tuitionAndFees[],MATCH("Resident Tuition",tuitionAndFees[Item],0),MATCH("Summer 2030",tuitionAndFees[#Headers],0)),0)</f>
        <v>0</v>
      </c>
      <c r="F37" s="23">
        <f>IF(CALCULATOR!$D$9="Yes",INDEX(tuitionAndFees[],MATCH("Resident Tuition",tuitionAndFees[Item],0),MATCH("Summer 2031",tuitionAndFees[#Headers],0)),0)</f>
        <v>0</v>
      </c>
    </row>
    <row r="38" spans="1:6" x14ac:dyDescent="0.2">
      <c r="A38" t="s">
        <v>23</v>
      </c>
      <c r="B38" s="23">
        <f>IF(CALCULATOR!$C$9="Yes",INDEX(tuitionAndFees[],MATCH("Fees Subtotal",tuitionAndFees[Item],0),MATCH("Summer 2027",tuitionAndFees[#Headers],0)),0)</f>
        <v>0</v>
      </c>
      <c r="C38" s="23">
        <f>IF(CALCULATOR!$D$9="Yes",INDEX(tuitionAndFees[],MATCH("Fees Subtotal",tuitionAndFees[Item],0),MATCH("Summer 2028",tuitionAndFees[#Headers],0)),0)</f>
        <v>0</v>
      </c>
      <c r="D38" s="23">
        <f>IF(CALCULATOR!$E$9="Yes",INDEX(tuitionAndFees[],MATCH("Fees Subtotal",tuitionAndFees[Item],0),MATCH("Summer 2029",tuitionAndFees[#Headers],0)),0)</f>
        <v>0</v>
      </c>
      <c r="E38" s="23">
        <f>IF(CALCULATOR!$F$9="Yes",INDEX(tuitionAndFees[],MATCH("Fees Subtotal",tuitionAndFees[Item],0),MATCH("Summer 2030",tuitionAndFees[#Headers],0)),0)</f>
        <v>0</v>
      </c>
      <c r="F38" s="23">
        <f>IF(CALCULATOR!$G$9="Yes",INDEX(tuitionAndFees[],MATCH("Fees Subtotal",tuitionAndFees[Item],0),MATCH("Summer 2031",tuitionAndFees[#Headers],0)),0)</f>
        <v>0</v>
      </c>
    </row>
    <row r="41" spans="1:6" x14ac:dyDescent="0.2">
      <c r="A41" s="18" t="s">
        <v>34</v>
      </c>
      <c r="B41" s="24">
        <v>0.58499999999999996</v>
      </c>
      <c r="C41" s="24">
        <v>0.58499999999999996</v>
      </c>
      <c r="D41" s="24">
        <v>0.58499999999999996</v>
      </c>
      <c r="E41" s="24">
        <v>0.58499999999999996</v>
      </c>
      <c r="F41" s="24">
        <v>0.58499999999999996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03BAD-A075-A94C-A784-3A33A0BE9BAB}">
  <dimension ref="A1:K26"/>
  <sheetViews>
    <sheetView zoomScale="160" zoomScaleNormal="160" workbookViewId="0">
      <selection activeCell="G5" sqref="G5"/>
    </sheetView>
  </sheetViews>
  <sheetFormatPr baseColWidth="10" defaultColWidth="11" defaultRowHeight="16" x14ac:dyDescent="0.2"/>
  <cols>
    <col min="2" max="7" width="12.33203125" customWidth="1"/>
    <col min="8" max="11" width="15" customWidth="1"/>
  </cols>
  <sheetData>
    <row r="1" spans="1:11" x14ac:dyDescent="0.2">
      <c r="B1" s="36" t="s">
        <v>35</v>
      </c>
      <c r="C1" s="36"/>
      <c r="D1" s="36"/>
      <c r="E1" s="36"/>
      <c r="F1" s="36"/>
      <c r="G1" s="36"/>
      <c r="H1" s="36"/>
      <c r="I1" s="36"/>
      <c r="J1" s="36"/>
      <c r="K1" s="36"/>
    </row>
    <row r="2" spans="1:11" x14ac:dyDescent="0.2">
      <c r="A2" s="1" t="s">
        <v>36</v>
      </c>
      <c r="B2" s="4" t="s">
        <v>37</v>
      </c>
      <c r="C2" s="4" t="s">
        <v>38</v>
      </c>
      <c r="D2" s="4" t="s">
        <v>39</v>
      </c>
      <c r="E2" s="4" t="s">
        <v>40</v>
      </c>
      <c r="F2" s="14" t="s">
        <v>41</v>
      </c>
      <c r="G2" s="14" t="s">
        <v>42</v>
      </c>
      <c r="H2" s="14" t="s">
        <v>43</v>
      </c>
      <c r="I2" s="14" t="s">
        <v>44</v>
      </c>
      <c r="J2" s="14" t="s">
        <v>45</v>
      </c>
      <c r="K2" s="14" t="s">
        <v>46</v>
      </c>
    </row>
    <row r="3" spans="1:11" x14ac:dyDescent="0.2">
      <c r="A3" s="2" t="s">
        <v>47</v>
      </c>
      <c r="B3" s="3">
        <v>2367.415</v>
      </c>
      <c r="C3" s="3">
        <v>2545</v>
      </c>
      <c r="D3" s="3">
        <v>2707.92</v>
      </c>
      <c r="E3" s="3">
        <v>2880.38</v>
      </c>
      <c r="F3" s="3">
        <v>2995.59</v>
      </c>
      <c r="G3" s="3">
        <v>3174</v>
      </c>
      <c r="H3" s="12">
        <v>3363</v>
      </c>
      <c r="I3" s="15">
        <v>3563</v>
      </c>
      <c r="J3" s="16">
        <v>0</v>
      </c>
      <c r="K3" s="12">
        <f>MonthlyScales50[[#This Row],[10/1/29]]*1.04</f>
        <v>0</v>
      </c>
    </row>
    <row r="4" spans="1:11" x14ac:dyDescent="0.2">
      <c r="A4" s="2" t="s">
        <v>48</v>
      </c>
      <c r="B4" s="3">
        <v>2524.96</v>
      </c>
      <c r="C4" s="3">
        <v>2742.25</v>
      </c>
      <c r="D4" s="3">
        <v>2917.79</v>
      </c>
      <c r="E4" s="3">
        <v>3103.63</v>
      </c>
      <c r="F4" s="3">
        <v>3227.77</v>
      </c>
      <c r="G4" s="3">
        <v>3357</v>
      </c>
      <c r="H4" s="12">
        <v>3491</v>
      </c>
      <c r="I4" s="15">
        <v>3630</v>
      </c>
      <c r="J4" s="15">
        <v>3775</v>
      </c>
      <c r="K4" s="12">
        <f>MonthlyScales50[[#This Row],[10/1/29]]*1.04</f>
        <v>3926</v>
      </c>
    </row>
    <row r="5" spans="1:11" x14ac:dyDescent="0.2">
      <c r="A5" s="2" t="s">
        <v>49</v>
      </c>
      <c r="B5" s="3">
        <v>2642.165</v>
      </c>
      <c r="C5" s="3">
        <v>2954.79</v>
      </c>
      <c r="D5" s="3">
        <v>3143.92</v>
      </c>
      <c r="E5" s="3">
        <v>3344.17</v>
      </c>
      <c r="F5" s="3">
        <v>3477.9333333333338</v>
      </c>
      <c r="G5" s="3">
        <v>3613</v>
      </c>
      <c r="H5" s="12">
        <v>3753</v>
      </c>
      <c r="I5" s="15">
        <v>3898</v>
      </c>
      <c r="J5" s="15">
        <v>4049</v>
      </c>
      <c r="K5" s="12">
        <f>MonthlyScales50[[#This Row],[10/1/29]]*1.04</f>
        <v>4210.96</v>
      </c>
    </row>
    <row r="6" spans="1:11" x14ac:dyDescent="0.2">
      <c r="A6" s="2" t="s">
        <v>50</v>
      </c>
      <c r="B6" s="3">
        <v>2853.835</v>
      </c>
      <c r="C6" s="3">
        <v>3183.79</v>
      </c>
      <c r="D6" s="3">
        <v>3387.58</v>
      </c>
      <c r="E6" s="3">
        <v>3603.38</v>
      </c>
      <c r="F6" s="3">
        <v>3747.51</v>
      </c>
      <c r="G6" s="3">
        <v>3888</v>
      </c>
      <c r="H6" s="12">
        <v>4034</v>
      </c>
      <c r="I6" s="15">
        <v>4186</v>
      </c>
      <c r="J6" s="15">
        <v>4343</v>
      </c>
      <c r="K6" s="12">
        <f>MonthlyScales50[[#This Row],[10/1/29]]*1.04</f>
        <v>4516.72</v>
      </c>
    </row>
    <row r="7" spans="1:11" x14ac:dyDescent="0.2">
      <c r="A7" s="2" t="s">
        <v>51</v>
      </c>
      <c r="B7" s="3">
        <v>3080.875</v>
      </c>
      <c r="C7" s="3">
        <v>3430.54</v>
      </c>
      <c r="D7" s="3">
        <v>3650.13</v>
      </c>
      <c r="E7" s="3">
        <v>3882.67</v>
      </c>
      <c r="F7" s="3">
        <v>4037.9733333333334</v>
      </c>
      <c r="G7" s="3">
        <v>4185</v>
      </c>
      <c r="H7" s="12">
        <v>4337</v>
      </c>
      <c r="I7" s="15">
        <v>4495</v>
      </c>
      <c r="J7" s="15">
        <v>4658</v>
      </c>
      <c r="K7" s="12">
        <f>MonthlyScales50[[#This Row],[10/1/29]]*1.04</f>
        <v>4844.3200000000006</v>
      </c>
    </row>
    <row r="8" spans="1:11" x14ac:dyDescent="0.2">
      <c r="A8" s="2" t="s">
        <v>52</v>
      </c>
      <c r="B8" s="3">
        <v>3328.04</v>
      </c>
      <c r="C8" s="3">
        <v>3696.415</v>
      </c>
      <c r="D8" s="3">
        <v>3933</v>
      </c>
      <c r="E8" s="3">
        <v>4183.58</v>
      </c>
      <c r="F8" s="3">
        <v>4350.9266666666672</v>
      </c>
      <c r="G8" s="3">
        <v>4480</v>
      </c>
      <c r="H8" s="12">
        <v>4613</v>
      </c>
      <c r="I8" s="15">
        <v>4750</v>
      </c>
      <c r="J8" s="15">
        <v>4891</v>
      </c>
      <c r="K8" s="12">
        <f>MonthlyScales50[[#This Row],[10/1/29]]*1.04</f>
        <v>5086.6400000000003</v>
      </c>
    </row>
    <row r="9" spans="1:11" x14ac:dyDescent="0.2">
      <c r="A9" s="2" t="s">
        <v>2</v>
      </c>
      <c r="B9" s="3">
        <v>2582.9450000000002</v>
      </c>
      <c r="C9" s="3">
        <v>2777.78</v>
      </c>
      <c r="D9" s="3">
        <v>3236.11</v>
      </c>
      <c r="E9" s="3">
        <f>7555.56/2</f>
        <v>3777.78</v>
      </c>
      <c r="F9" s="3">
        <f>7857.78/2</f>
        <v>3928.89</v>
      </c>
      <c r="G9" s="3">
        <v>4100</v>
      </c>
      <c r="H9" s="12">
        <v>4278</v>
      </c>
      <c r="I9" s="15">
        <v>4464</v>
      </c>
      <c r="J9" s="15">
        <v>4658</v>
      </c>
      <c r="K9" s="12">
        <f>MonthlyScales50[[#This Row],[10/1/29]]*1.04</f>
        <v>4844.3200000000006</v>
      </c>
    </row>
    <row r="10" spans="1:11" x14ac:dyDescent="0.2">
      <c r="A10" s="5" t="s">
        <v>53</v>
      </c>
      <c r="B10" s="6">
        <v>0</v>
      </c>
      <c r="C10" s="6">
        <v>0</v>
      </c>
      <c r="D10" s="7">
        <v>3333.19</v>
      </c>
      <c r="E10" s="7">
        <f>7782.22/2</f>
        <v>3891.11</v>
      </c>
      <c r="F10" s="3">
        <f>8093.56/2</f>
        <v>4046.78</v>
      </c>
      <c r="G10" s="3">
        <v>4243</v>
      </c>
      <c r="H10" s="12">
        <v>4449</v>
      </c>
      <c r="I10" s="15">
        <v>4665</v>
      </c>
      <c r="J10" s="15">
        <v>4891</v>
      </c>
      <c r="K10" s="12">
        <f>MonthlyScales50[[#This Row],[10/1/29]]*1.04</f>
        <v>5086.6400000000003</v>
      </c>
    </row>
    <row r="11" spans="1:11" x14ac:dyDescent="0.2">
      <c r="A11" s="5" t="s">
        <v>54</v>
      </c>
      <c r="B11" s="6">
        <v>0</v>
      </c>
      <c r="C11" s="6">
        <v>0</v>
      </c>
      <c r="D11" s="7">
        <v>3433.19</v>
      </c>
      <c r="E11" s="7">
        <f>8015.67/2</f>
        <v>4007.835</v>
      </c>
      <c r="F11" s="3">
        <f>8336.33/2</f>
        <v>4168.165</v>
      </c>
      <c r="G11" s="3">
        <v>4370</v>
      </c>
      <c r="H11" s="12">
        <v>4582</v>
      </c>
      <c r="I11" s="15">
        <v>4805</v>
      </c>
      <c r="J11" s="15">
        <v>5038</v>
      </c>
      <c r="K11" s="12">
        <f>MonthlyScales50[[#This Row],[10/1/29]]*1.04</f>
        <v>5239.5200000000004</v>
      </c>
    </row>
    <row r="12" spans="1:11" x14ac:dyDescent="0.2">
      <c r="A12" s="2" t="s">
        <v>55</v>
      </c>
      <c r="B12" s="3">
        <v>3028.28</v>
      </c>
      <c r="C12" s="3">
        <v>3297</v>
      </c>
      <c r="D12" s="3">
        <v>3841.06</v>
      </c>
      <c r="E12" s="3">
        <f>8968/2</f>
        <v>4484</v>
      </c>
      <c r="F12" s="3">
        <f>9326.78/2</f>
        <v>4663.3900000000003</v>
      </c>
      <c r="G12" s="16">
        <v>0</v>
      </c>
      <c r="H12" s="16">
        <v>0</v>
      </c>
      <c r="I12" s="16">
        <v>0</v>
      </c>
      <c r="J12" s="16">
        <v>0</v>
      </c>
      <c r="K12" s="12">
        <f>MonthlyScales50[[#This Row],[10/1/29]]*1.04</f>
        <v>0</v>
      </c>
    </row>
    <row r="13" spans="1:11" x14ac:dyDescent="0.2">
      <c r="A13" s="2" t="s">
        <v>56</v>
      </c>
      <c r="B13" s="16">
        <v>0</v>
      </c>
      <c r="C13" s="16">
        <v>0</v>
      </c>
      <c r="D13" s="16">
        <v>0</v>
      </c>
      <c r="E13" s="16">
        <v>0</v>
      </c>
      <c r="F13" s="3">
        <v>4116.4399999999996</v>
      </c>
      <c r="G13" s="3">
        <v>4298</v>
      </c>
      <c r="H13" s="15">
        <v>4487</v>
      </c>
      <c r="I13" s="15">
        <v>4684</v>
      </c>
      <c r="J13" s="15">
        <v>4891</v>
      </c>
      <c r="K13" s="12">
        <f>MonthlyScales50[[#This Row],[10/1/29]]*1.04</f>
        <v>5086.6400000000003</v>
      </c>
    </row>
    <row r="14" spans="1:11" x14ac:dyDescent="0.2">
      <c r="A14" s="2" t="s">
        <v>57</v>
      </c>
      <c r="B14" s="16">
        <v>0</v>
      </c>
      <c r="C14" s="16">
        <v>0</v>
      </c>
      <c r="D14" s="16">
        <v>0</v>
      </c>
      <c r="E14" s="16">
        <v>0</v>
      </c>
      <c r="F14" s="3">
        <v>4239.9399999999996</v>
      </c>
      <c r="G14" s="3">
        <v>4426</v>
      </c>
      <c r="H14" s="15">
        <v>4621</v>
      </c>
      <c r="I14" s="15">
        <v>4825</v>
      </c>
      <c r="J14" s="15">
        <v>5038</v>
      </c>
      <c r="K14" s="12">
        <f>MonthlyScales50[[#This Row],[10/1/29]]*1.04</f>
        <v>5239.5200000000004</v>
      </c>
    </row>
    <row r="15" spans="1:11" x14ac:dyDescent="0.2">
      <c r="A15" s="2" t="s">
        <v>58</v>
      </c>
      <c r="B15" s="16">
        <v>0</v>
      </c>
      <c r="C15" s="16">
        <v>0</v>
      </c>
      <c r="D15" s="16">
        <v>0</v>
      </c>
      <c r="E15" s="16">
        <v>0</v>
      </c>
      <c r="F15" s="3">
        <v>4367.17</v>
      </c>
      <c r="G15" s="3">
        <v>4581</v>
      </c>
      <c r="H15" s="15">
        <v>4806</v>
      </c>
      <c r="I15" s="15">
        <v>5041</v>
      </c>
      <c r="J15" s="15">
        <v>5290</v>
      </c>
      <c r="K15" s="12">
        <f>MonthlyScales50[[#This Row],[10/1/29]]*1.04</f>
        <v>5501.6</v>
      </c>
    </row>
    <row r="16" spans="1:11" x14ac:dyDescent="0.2">
      <c r="A16" s="2" t="s">
        <v>59</v>
      </c>
      <c r="B16" s="16">
        <v>0</v>
      </c>
      <c r="C16" s="16">
        <v>0</v>
      </c>
      <c r="D16" s="16">
        <v>0</v>
      </c>
      <c r="E16" s="16">
        <v>0</v>
      </c>
      <c r="F16" s="3">
        <v>4498.17</v>
      </c>
      <c r="G16" s="3">
        <v>4683</v>
      </c>
      <c r="H16" s="15">
        <v>4875</v>
      </c>
      <c r="I16" s="15">
        <v>5074</v>
      </c>
      <c r="J16" s="15">
        <v>5290</v>
      </c>
      <c r="K16" s="12">
        <f>MonthlyScales50[[#This Row],[10/1/29]]*1.04</f>
        <v>5501.6</v>
      </c>
    </row>
    <row r="17" spans="1:11" x14ac:dyDescent="0.2">
      <c r="A17" s="2" t="s">
        <v>60</v>
      </c>
      <c r="B17" s="16">
        <v>0</v>
      </c>
      <c r="C17" s="16">
        <v>0</v>
      </c>
      <c r="D17" s="16">
        <v>0</v>
      </c>
      <c r="E17" s="16">
        <v>0</v>
      </c>
      <c r="F17" s="3">
        <v>4633.1099999999997</v>
      </c>
      <c r="G17" s="3">
        <v>4791</v>
      </c>
      <c r="H17" s="15">
        <v>4954</v>
      </c>
      <c r="I17" s="15">
        <v>5122</v>
      </c>
      <c r="J17" s="15">
        <v>5290</v>
      </c>
      <c r="K17" s="12">
        <f>MonthlyScales50[[#This Row],[10/1/29]]*1.04</f>
        <v>5501.6</v>
      </c>
    </row>
    <row r="18" spans="1:11" x14ac:dyDescent="0.2">
      <c r="A18" s="2" t="s">
        <v>61</v>
      </c>
      <c r="B18" s="16">
        <v>0</v>
      </c>
      <c r="C18" s="16">
        <v>0</v>
      </c>
      <c r="D18" s="16">
        <v>0</v>
      </c>
      <c r="E18" s="16">
        <v>0</v>
      </c>
      <c r="F18" s="3">
        <v>4772.1099999999997</v>
      </c>
      <c r="G18" s="3">
        <v>4896</v>
      </c>
      <c r="H18" s="15">
        <v>5023</v>
      </c>
      <c r="I18" s="15">
        <v>5154</v>
      </c>
      <c r="J18" s="15">
        <v>5290</v>
      </c>
      <c r="K18" s="12">
        <f>MonthlyScales50[[#This Row],[10/1/29]]*1.04</f>
        <v>5501.6</v>
      </c>
    </row>
    <row r="19" spans="1:11" x14ac:dyDescent="0.2">
      <c r="A19" s="2" t="s">
        <v>62</v>
      </c>
      <c r="B19" s="16">
        <v>0</v>
      </c>
      <c r="C19" s="16">
        <v>0</v>
      </c>
      <c r="D19" s="16">
        <v>0</v>
      </c>
      <c r="E19" s="16">
        <v>0</v>
      </c>
      <c r="F19" s="3">
        <v>4915.28</v>
      </c>
      <c r="G19" s="3">
        <v>5009</v>
      </c>
      <c r="H19" s="15">
        <v>5104</v>
      </c>
      <c r="I19" s="15">
        <v>5201</v>
      </c>
      <c r="J19" s="15">
        <v>5290</v>
      </c>
      <c r="K19" s="12">
        <f>MonthlyScales50[[#This Row],[10/1/29]]*1.04</f>
        <v>5501.6</v>
      </c>
    </row>
    <row r="20" spans="1:11" x14ac:dyDescent="0.2">
      <c r="H20" s="15"/>
      <c r="I20" s="15"/>
      <c r="J20" s="15"/>
    </row>
    <row r="21" spans="1:11" x14ac:dyDescent="0.2">
      <c r="H21" s="15"/>
      <c r="I21" s="15"/>
      <c r="J21" s="15"/>
    </row>
    <row r="22" spans="1:11" x14ac:dyDescent="0.2">
      <c r="H22" s="15"/>
      <c r="I22" s="15"/>
      <c r="J22" s="15"/>
    </row>
    <row r="23" spans="1:11" x14ac:dyDescent="0.2">
      <c r="H23" s="15"/>
      <c r="I23" s="15"/>
      <c r="J23" s="15"/>
    </row>
    <row r="24" spans="1:11" x14ac:dyDescent="0.2">
      <c r="H24" s="15"/>
      <c r="I24" s="15"/>
      <c r="J24" s="15"/>
    </row>
    <row r="25" spans="1:11" x14ac:dyDescent="0.2">
      <c r="H25" s="15"/>
      <c r="I25" s="15"/>
      <c r="J25" s="15"/>
    </row>
    <row r="26" spans="1:11" x14ac:dyDescent="0.2">
      <c r="H26" s="15"/>
      <c r="I26" s="15"/>
      <c r="J26" s="15"/>
    </row>
  </sheetData>
  <mergeCells count="1">
    <mergeCell ref="B1:K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8043D-ADFB-8540-B699-9BB94B0612E2}">
  <dimension ref="A1:Q19"/>
  <sheetViews>
    <sheetView zoomScale="130" zoomScaleNormal="130" workbookViewId="0">
      <selection activeCell="C5" sqref="C5"/>
    </sheetView>
  </sheetViews>
  <sheetFormatPr baseColWidth="10" defaultColWidth="11" defaultRowHeight="16" x14ac:dyDescent="0.2"/>
  <cols>
    <col min="2" max="13" width="15.83203125" customWidth="1"/>
    <col min="14" max="14" width="16" customWidth="1"/>
    <col min="15" max="17" width="15.83203125" customWidth="1"/>
  </cols>
  <sheetData>
    <row r="1" spans="1:17" x14ac:dyDescent="0.2">
      <c r="B1" s="36" t="s">
        <v>35</v>
      </c>
      <c r="C1" s="36"/>
      <c r="D1" s="36"/>
      <c r="E1" s="36"/>
      <c r="F1" s="36"/>
      <c r="G1" s="36"/>
      <c r="H1" s="36"/>
      <c r="I1" s="36"/>
      <c r="J1" s="36"/>
      <c r="K1" s="36"/>
    </row>
    <row r="2" spans="1:17" x14ac:dyDescent="0.2">
      <c r="A2" s="18" t="s">
        <v>36</v>
      </c>
      <c r="B2" s="11" t="s">
        <v>63</v>
      </c>
      <c r="C2" s="11" t="s">
        <v>64</v>
      </c>
      <c r="D2" s="11" t="s">
        <v>65</v>
      </c>
      <c r="E2" s="11" t="s">
        <v>66</v>
      </c>
      <c r="F2" s="11" t="s">
        <v>67</v>
      </c>
      <c r="G2" s="11" t="s">
        <v>68</v>
      </c>
      <c r="H2" s="11" t="s">
        <v>69</v>
      </c>
      <c r="I2" s="11" t="s">
        <v>70</v>
      </c>
      <c r="J2" s="11" t="s">
        <v>71</v>
      </c>
      <c r="K2" s="11" t="s">
        <v>72</v>
      </c>
      <c r="L2" s="11" t="s">
        <v>73</v>
      </c>
      <c r="M2" s="11" t="s">
        <v>74</v>
      </c>
      <c r="N2" s="11" t="s">
        <v>75</v>
      </c>
      <c r="O2" s="8" t="s">
        <v>76</v>
      </c>
      <c r="P2" s="8" t="s">
        <v>77</v>
      </c>
      <c r="Q2" s="8" t="s">
        <v>78</v>
      </c>
    </row>
    <row r="3" spans="1:17" x14ac:dyDescent="0.2">
      <c r="A3" s="2" t="s">
        <v>47</v>
      </c>
      <c r="B3" s="15">
        <f>INDEX(MonthlyScales50[],MATCH($A3, MonthlyScales50[Title], 0),MATCH("10/1/25", MonthlyScales50[#Headers], 0))*3</f>
        <v>8986.77</v>
      </c>
      <c r="C3" s="15">
        <f>INDEX(MonthlyScales50[],MATCH($A3, MonthlyScales50[Title], 0),MATCH("10/1/25", MonthlyScales50[#Headers], 0))*1.5+INDEX(MonthlyScales50[],MATCH($A3, MonthlyScales50[Title], 0),MATCH("10/1/26", MonthlyScales50[#Headers], 0))*3</f>
        <v>14015.385</v>
      </c>
      <c r="D3" s="15">
        <f>INDEX(MonthlyScales50[],MATCH($A3, MonthlyScales50[Title], 0),MATCH("10/1/26", MonthlyScales50[#Headers], 0))*4.5</f>
        <v>14283</v>
      </c>
      <c r="E3" s="15">
        <f>INDEX(MonthlyScales50[],MATCH($A3, MonthlyScales50[Title], 0),MATCH("10/1/26", MonthlyScales50[#Headers], 0))*3</f>
        <v>9522</v>
      </c>
      <c r="F3" s="15">
        <f>INDEX(MonthlyScales50[],MATCH($A3, MonthlyScales50[Title], 0),MATCH("10/1/26", MonthlyScales50[#Headers], 0))*1.5+INDEX(MonthlyScales50[],MATCH($A3, MonthlyScales50[Title], 0),MATCH("10/1/27", MonthlyScales50[#Headers], 0))*3</f>
        <v>14850</v>
      </c>
      <c r="G3" s="15">
        <f>INDEX(MonthlyScales50[],MATCH($A3, MonthlyScales50[Title], 0),MATCH("10/1/27", MonthlyScales50[#Headers], 0))*4.5</f>
        <v>15133.5</v>
      </c>
      <c r="H3" s="15">
        <f>INDEX(MonthlyScales50[],MATCH($A3, MonthlyScales50[Title], 0),MATCH("10/1/27", MonthlyScales50[#Headers], 0))*3</f>
        <v>10089</v>
      </c>
      <c r="I3" s="15">
        <f>INDEX(MonthlyScales50[],MATCH($A3, MonthlyScales50[Title], 0),MATCH("10/1/27", MonthlyScales50[#Headers], 0))*1.5+INDEX(MonthlyScales50[],MATCH($A3, MonthlyScales50[Title], 0),MATCH("10/1/28", MonthlyScales50[#Headers], 0))*3</f>
        <v>15733.5</v>
      </c>
      <c r="J3" s="15">
        <f>INDEX(MonthlyScales50[],MATCH($A3, MonthlyScales50[Title], 0),MATCH("10/1/28", MonthlyScales50[#Headers], 0))*4.5</f>
        <v>16033.5</v>
      </c>
      <c r="K3" s="15">
        <f>INDEX(MonthlyScales50[],MATCH($A3, MonthlyScales50[Title], 0),MATCH("10/1/28", MonthlyScales50[#Headers], 0))*3</f>
        <v>10689</v>
      </c>
      <c r="L3" s="15">
        <v>0</v>
      </c>
      <c r="M3" s="15">
        <f>INDEX(MonthlyScales50[],MATCH($A3, MonthlyScales50[Title], 0),MATCH("10/1/29", MonthlyScales50[#Headers], 0))*4.5</f>
        <v>0</v>
      </c>
      <c r="N3" s="15">
        <f>INDEX(MonthlyScales50[],MATCH($A3, MonthlyScales50[Title], 0),MATCH("10/1/29", MonthlyScales50[#Headers], 0))*3</f>
        <v>0</v>
      </c>
      <c r="O3" s="15">
        <f>INDEX(MonthlyScales50[],MATCH($A3, MonthlyScales50[Title], 0),MATCH("10/1/29", MonthlyScales50[#Headers], 0))*1.5+INDEX(MonthlyScales50[],MATCH($A3, MonthlyScales50[Title], 0),MATCH("10/1/30", MonthlyScales50[#Headers], 0))*3</f>
        <v>0</v>
      </c>
      <c r="P3" s="15">
        <f>INDEX(MonthlyScales50[],MATCH($A3, MonthlyScales50[Title], 0),MATCH("10/1/30", MonthlyScales50[#Headers], 0))*4.5</f>
        <v>0</v>
      </c>
      <c r="Q3" s="15">
        <f>INDEX(MonthlyScales50[],MATCH($A3, MonthlyScales50[Title], 0),MATCH("10/1/30", MonthlyScales50[#Headers], 0))*3</f>
        <v>0</v>
      </c>
    </row>
    <row r="4" spans="1:17" x14ac:dyDescent="0.2">
      <c r="A4" s="2" t="s">
        <v>48</v>
      </c>
      <c r="B4" s="15">
        <f>INDEX(MonthlyScales50[],MATCH($A4, MonthlyScales50[Title], 0),MATCH("10/1/25", MonthlyScales50[#Headers], 0))*3</f>
        <v>9683.31</v>
      </c>
      <c r="C4" s="15">
        <f>INDEX(MonthlyScales50[],MATCH($A4, MonthlyScales50[Title], 0),MATCH("10/1/25", MonthlyScales50[#Headers], 0))*1.5+INDEX(MonthlyScales50[],MATCH($A4, MonthlyScales50[Title], 0),MATCH("10/1/26", MonthlyScales50[#Headers], 0))*3</f>
        <v>14912.654999999999</v>
      </c>
      <c r="D4" s="15">
        <f>INDEX(MonthlyScales50[],MATCH($A4, MonthlyScales50[Title], 0),MATCH("10/1/26", MonthlyScales50[#Headers], 0))*4.5</f>
        <v>15106.5</v>
      </c>
      <c r="E4" s="15">
        <f>INDEX(MonthlyScales50[],MATCH($A4, MonthlyScales50[Title], 0),MATCH("10/1/26", MonthlyScales50[#Headers], 0))*3</f>
        <v>10071</v>
      </c>
      <c r="F4" s="15">
        <f>INDEX(MonthlyScales50[],MATCH($A4, MonthlyScales50[Title], 0),MATCH("10/1/26", MonthlyScales50[#Headers], 0))*1.5+INDEX(MonthlyScales50[],MATCH($A4, MonthlyScales50[Title], 0),MATCH("10/1/27", MonthlyScales50[#Headers], 0))*3</f>
        <v>15508.5</v>
      </c>
      <c r="G4" s="15">
        <f>INDEX(MonthlyScales50[],MATCH($A4, MonthlyScales50[Title], 0),MATCH("10/1/27", MonthlyScales50[#Headers], 0))*4.5</f>
        <v>15709.5</v>
      </c>
      <c r="H4" s="15">
        <f>INDEX(MonthlyScales50[],MATCH($A4, MonthlyScales50[Title], 0),MATCH("10/1/27", MonthlyScales50[#Headers], 0))*3</f>
        <v>10473</v>
      </c>
      <c r="I4" s="15">
        <f>INDEX(MonthlyScales50[],MATCH($A4, MonthlyScales50[Title], 0),MATCH("10/1/27", MonthlyScales50[#Headers], 0))*1.5+INDEX(MonthlyScales50[],MATCH($A4, MonthlyScales50[Title], 0),MATCH("10/1/28", MonthlyScales50[#Headers], 0))*3</f>
        <v>16126.5</v>
      </c>
      <c r="J4" s="15">
        <f>INDEX(MonthlyScales50[],MATCH($A4, MonthlyScales50[Title], 0),MATCH("10/1/28", MonthlyScales50[#Headers], 0))*4.5</f>
        <v>16335</v>
      </c>
      <c r="K4" s="15">
        <f>INDEX(MonthlyScales50[],MATCH($A4, MonthlyScales50[Title], 0),MATCH("10/1/28", MonthlyScales50[#Headers], 0))*3</f>
        <v>10890</v>
      </c>
      <c r="L4" s="15">
        <f>INDEX(MonthlyScales50[],MATCH($A4, MonthlyScales50[Title], 0),MATCH("10/1/28", MonthlyScales50[#Headers], 0))*1.5+INDEX(MonthlyScales50[],MATCH($A4, MonthlyScales50[Title], 0),MATCH("10/1/29", MonthlyScales50[#Headers], 0))*3</f>
        <v>16770</v>
      </c>
      <c r="M4" s="15">
        <f>INDEX(MonthlyScales50[],MATCH($A4, MonthlyScales50[Title], 0),MATCH("10/1/29", MonthlyScales50[#Headers], 0))*4.5</f>
        <v>16987.5</v>
      </c>
      <c r="N4" s="15">
        <f>INDEX(MonthlyScales50[],MATCH($A4, MonthlyScales50[Title], 0),MATCH("10/1/29", MonthlyScales50[#Headers], 0))*3</f>
        <v>11325</v>
      </c>
      <c r="O4" s="15">
        <f>INDEX(MonthlyScales50[],MATCH($A4, MonthlyScales50[Title], 0),MATCH("10/1/29", MonthlyScales50[#Headers], 0))*1.5+INDEX(MonthlyScales50[],MATCH($A4, MonthlyScales50[Title], 0),MATCH("10/1/30", MonthlyScales50[#Headers], 0))*3</f>
        <v>17440.5</v>
      </c>
      <c r="P4" s="15">
        <f>INDEX(MonthlyScales50[],MATCH($A4, MonthlyScales50[Title], 0),MATCH("10/1/30", MonthlyScales50[#Headers], 0))*4.5</f>
        <v>17667</v>
      </c>
      <c r="Q4" s="15">
        <f>INDEX(MonthlyScales50[],MATCH($A4, MonthlyScales50[Title], 0),MATCH("10/1/30", MonthlyScales50[#Headers], 0))*3</f>
        <v>11778</v>
      </c>
    </row>
    <row r="5" spans="1:17" x14ac:dyDescent="0.2">
      <c r="A5" s="2" t="s">
        <v>49</v>
      </c>
      <c r="B5" s="15">
        <f>INDEX(MonthlyScales50[],MATCH($A5, MonthlyScales50[Title], 0),MATCH("10/1/25", MonthlyScales50[#Headers], 0))*3</f>
        <v>10433.800000000001</v>
      </c>
      <c r="C5" s="15">
        <f>INDEX(MonthlyScales50[],MATCH($A5, MonthlyScales50[Title], 0),MATCH("10/1/25", MonthlyScales50[#Headers], 0))*1.5+INDEX(MonthlyScales50[],MATCH($A5, MonthlyScales50[Title], 0),MATCH("10/1/26", MonthlyScales50[#Headers], 0))*3</f>
        <v>16055.900000000001</v>
      </c>
      <c r="D5" s="15">
        <f>INDEX(MonthlyScales50[],MATCH($A5, MonthlyScales50[Title], 0),MATCH("10/1/26", MonthlyScales50[#Headers], 0))*4.5</f>
        <v>16258.5</v>
      </c>
      <c r="E5" s="15">
        <f>INDEX(MonthlyScales50[],MATCH($A5, MonthlyScales50[Title], 0),MATCH("10/1/26", MonthlyScales50[#Headers], 0))*3</f>
        <v>10839</v>
      </c>
      <c r="F5" s="15">
        <f>INDEX(MonthlyScales50[],MATCH($A5, MonthlyScales50[Title], 0),MATCH("10/1/26", MonthlyScales50[#Headers], 0))*1.5+INDEX(MonthlyScales50[],MATCH($A5, MonthlyScales50[Title], 0),MATCH("10/1/27", MonthlyScales50[#Headers], 0))*3</f>
        <v>16678.5</v>
      </c>
      <c r="G5" s="15">
        <f>INDEX(MonthlyScales50[],MATCH($A5, MonthlyScales50[Title], 0),MATCH("10/1/27", MonthlyScales50[#Headers], 0))*4.5</f>
        <v>16888.5</v>
      </c>
      <c r="H5" s="15">
        <f>INDEX(MonthlyScales50[],MATCH($A5, MonthlyScales50[Title], 0),MATCH("10/1/27", MonthlyScales50[#Headers], 0))*3</f>
        <v>11259</v>
      </c>
      <c r="I5" s="15">
        <f>INDEX(MonthlyScales50[],MATCH($A5, MonthlyScales50[Title], 0),MATCH("10/1/27", MonthlyScales50[#Headers], 0))*1.5+INDEX(MonthlyScales50[],MATCH($A5, MonthlyScales50[Title], 0),MATCH("10/1/28", MonthlyScales50[#Headers], 0))*3</f>
        <v>17323.5</v>
      </c>
      <c r="J5" s="15">
        <f>INDEX(MonthlyScales50[],MATCH($A5, MonthlyScales50[Title], 0),MATCH("10/1/28", MonthlyScales50[#Headers], 0))*4.5</f>
        <v>17541</v>
      </c>
      <c r="K5" s="15">
        <f>INDEX(MonthlyScales50[],MATCH($A5, MonthlyScales50[Title], 0),MATCH("10/1/28", MonthlyScales50[#Headers], 0))*3</f>
        <v>11694</v>
      </c>
      <c r="L5" s="15">
        <f>INDEX(MonthlyScales50[],MATCH($A5, MonthlyScales50[Title], 0),MATCH("10/1/28", MonthlyScales50[#Headers], 0))*1.5+INDEX(MonthlyScales50[],MATCH($A5, MonthlyScales50[Title], 0),MATCH("10/1/29", MonthlyScales50[#Headers], 0))*3</f>
        <v>17994</v>
      </c>
      <c r="M5" s="15">
        <f>INDEX(MonthlyScales50[],MATCH($A5, MonthlyScales50[Title], 0),MATCH("10/1/29", MonthlyScales50[#Headers], 0))*4.5</f>
        <v>18220.5</v>
      </c>
      <c r="N5" s="15">
        <f>INDEX(MonthlyScales50[],MATCH($A5, MonthlyScales50[Title], 0),MATCH("10/1/29", MonthlyScales50[#Headers], 0))*3</f>
        <v>12147</v>
      </c>
      <c r="O5" s="15">
        <f>INDEX(MonthlyScales50[],MATCH($A5, MonthlyScales50[Title], 0),MATCH("10/1/29", MonthlyScales50[#Headers], 0))*1.5+INDEX(MonthlyScales50[],MATCH($A5, MonthlyScales50[Title], 0),MATCH("10/1/30", MonthlyScales50[#Headers], 0))*3</f>
        <v>18706.38</v>
      </c>
      <c r="P5" s="15">
        <f>INDEX(MonthlyScales50[],MATCH($A5, MonthlyScales50[Title], 0),MATCH("10/1/30", MonthlyScales50[#Headers], 0))*4.5</f>
        <v>18949.32</v>
      </c>
      <c r="Q5" s="15">
        <f>INDEX(MonthlyScales50[],MATCH($A5, MonthlyScales50[Title], 0),MATCH("10/1/30", MonthlyScales50[#Headers], 0))*3</f>
        <v>12632.880000000001</v>
      </c>
    </row>
    <row r="6" spans="1:17" x14ac:dyDescent="0.2">
      <c r="A6" s="2" t="s">
        <v>50</v>
      </c>
      <c r="B6" s="15">
        <f>INDEX(MonthlyScales50[],MATCH($A6, MonthlyScales50[Title], 0),MATCH("10/1/25", MonthlyScales50[#Headers], 0))*3</f>
        <v>11242.53</v>
      </c>
      <c r="C6" s="15">
        <f>INDEX(MonthlyScales50[],MATCH($A6, MonthlyScales50[Title], 0),MATCH("10/1/25", MonthlyScales50[#Headers], 0))*1.5+INDEX(MonthlyScales50[],MATCH($A6, MonthlyScales50[Title], 0),MATCH("10/1/26", MonthlyScales50[#Headers], 0))*3</f>
        <v>17285.264999999999</v>
      </c>
      <c r="D6" s="15">
        <f>INDEX(MonthlyScales50[],MATCH($A6, MonthlyScales50[Title], 0),MATCH("10/1/26", MonthlyScales50[#Headers], 0))*4.5</f>
        <v>17496</v>
      </c>
      <c r="E6" s="15">
        <f>INDEX(MonthlyScales50[],MATCH($A6, MonthlyScales50[Title], 0),MATCH("10/1/26", MonthlyScales50[#Headers], 0))*3</f>
        <v>11664</v>
      </c>
      <c r="F6" s="15">
        <f>INDEX(MonthlyScales50[],MATCH($A6, MonthlyScales50[Title], 0),MATCH("10/1/26", MonthlyScales50[#Headers], 0))*1.5+INDEX(MonthlyScales50[],MATCH($A6, MonthlyScales50[Title], 0),MATCH("10/1/27", MonthlyScales50[#Headers], 0))*3</f>
        <v>17934</v>
      </c>
      <c r="G6" s="15">
        <f>INDEX(MonthlyScales50[],MATCH($A6, MonthlyScales50[Title], 0),MATCH("10/1/27", MonthlyScales50[#Headers], 0))*4.5</f>
        <v>18153</v>
      </c>
      <c r="H6" s="15">
        <f>INDEX(MonthlyScales50[],MATCH($A6, MonthlyScales50[Title], 0),MATCH("10/1/27", MonthlyScales50[#Headers], 0))*3</f>
        <v>12102</v>
      </c>
      <c r="I6" s="15">
        <f>INDEX(MonthlyScales50[],MATCH($A6, MonthlyScales50[Title], 0),MATCH("10/1/27", MonthlyScales50[#Headers], 0))*1.5+INDEX(MonthlyScales50[],MATCH($A6, MonthlyScales50[Title], 0),MATCH("10/1/28", MonthlyScales50[#Headers], 0))*3</f>
        <v>18609</v>
      </c>
      <c r="J6" s="15">
        <f>INDEX(MonthlyScales50[],MATCH($A6, MonthlyScales50[Title], 0),MATCH("10/1/28", MonthlyScales50[#Headers], 0))*4.5</f>
        <v>18837</v>
      </c>
      <c r="K6" s="15">
        <f>INDEX(MonthlyScales50[],MATCH($A6, MonthlyScales50[Title], 0),MATCH("10/1/28", MonthlyScales50[#Headers], 0))*3</f>
        <v>12558</v>
      </c>
      <c r="L6" s="15">
        <f>INDEX(MonthlyScales50[],MATCH($A6, MonthlyScales50[Title], 0),MATCH("10/1/28", MonthlyScales50[#Headers], 0))*1.5+INDEX(MonthlyScales50[],MATCH($A6, MonthlyScales50[Title], 0),MATCH("10/1/29", MonthlyScales50[#Headers], 0))*3</f>
        <v>19308</v>
      </c>
      <c r="M6" s="15">
        <f>INDEX(MonthlyScales50[],MATCH($A6, MonthlyScales50[Title], 0),MATCH("10/1/29", MonthlyScales50[#Headers], 0))*4.5</f>
        <v>19543.5</v>
      </c>
      <c r="N6" s="15">
        <f>INDEX(MonthlyScales50[],MATCH($A6, MonthlyScales50[Title], 0),MATCH("10/1/29", MonthlyScales50[#Headers], 0))*3</f>
        <v>13029</v>
      </c>
      <c r="O6" s="15">
        <f>INDEX(MonthlyScales50[],MATCH($A6, MonthlyScales50[Title], 0),MATCH("10/1/29", MonthlyScales50[#Headers], 0))*1.5+INDEX(MonthlyScales50[],MATCH($A6, MonthlyScales50[Title], 0),MATCH("10/1/30", MonthlyScales50[#Headers], 0))*3</f>
        <v>20064.66</v>
      </c>
      <c r="P6" s="15">
        <f>INDEX(MonthlyScales50[],MATCH($A6, MonthlyScales50[Title], 0),MATCH("10/1/30", MonthlyScales50[#Headers], 0))*4.5</f>
        <v>20325.240000000002</v>
      </c>
      <c r="Q6" s="15">
        <f>INDEX(MonthlyScales50[],MATCH($A6, MonthlyScales50[Title], 0),MATCH("10/1/30", MonthlyScales50[#Headers], 0))*3</f>
        <v>13550.16</v>
      </c>
    </row>
    <row r="7" spans="1:17" x14ac:dyDescent="0.2">
      <c r="A7" s="2" t="s">
        <v>51</v>
      </c>
      <c r="B7" s="15">
        <f>INDEX(MonthlyScales50[],MATCH($A7, MonthlyScales50[Title], 0),MATCH("10/1/25", MonthlyScales50[#Headers], 0))*3</f>
        <v>12113.92</v>
      </c>
      <c r="C7" s="15">
        <f>INDEX(MonthlyScales50[],MATCH($A7, MonthlyScales50[Title], 0),MATCH("10/1/25", MonthlyScales50[#Headers], 0))*1.5+INDEX(MonthlyScales50[],MATCH($A7, MonthlyScales50[Title], 0),MATCH("10/1/26", MonthlyScales50[#Headers], 0))*3</f>
        <v>18611.96</v>
      </c>
      <c r="D7" s="15">
        <f>INDEX(MonthlyScales50[],MATCH($A7, MonthlyScales50[Title], 0),MATCH("10/1/26", MonthlyScales50[#Headers], 0))*4.5</f>
        <v>18832.5</v>
      </c>
      <c r="E7" s="15">
        <f>INDEX(MonthlyScales50[],MATCH($A7, MonthlyScales50[Title], 0),MATCH("10/1/26", MonthlyScales50[#Headers], 0))*3</f>
        <v>12555</v>
      </c>
      <c r="F7" s="15">
        <f>INDEX(MonthlyScales50[],MATCH($A7, MonthlyScales50[Title], 0),MATCH("10/1/26", MonthlyScales50[#Headers], 0))*1.5+INDEX(MonthlyScales50[],MATCH($A7, MonthlyScales50[Title], 0),MATCH("10/1/27", MonthlyScales50[#Headers], 0))*3</f>
        <v>19288.5</v>
      </c>
      <c r="G7" s="15">
        <f>INDEX(MonthlyScales50[],MATCH($A7, MonthlyScales50[Title], 0),MATCH("10/1/27", MonthlyScales50[#Headers], 0))*4.5</f>
        <v>19516.5</v>
      </c>
      <c r="H7" s="15">
        <f>INDEX(MonthlyScales50[],MATCH($A7, MonthlyScales50[Title], 0),MATCH("10/1/27", MonthlyScales50[#Headers], 0))*3</f>
        <v>13011</v>
      </c>
      <c r="I7" s="15">
        <f>INDEX(MonthlyScales50[],MATCH($A7, MonthlyScales50[Title], 0),MATCH("10/1/27", MonthlyScales50[#Headers], 0))*1.5+INDEX(MonthlyScales50[],MATCH($A7, MonthlyScales50[Title], 0),MATCH("10/1/28", MonthlyScales50[#Headers], 0))*3</f>
        <v>19990.5</v>
      </c>
      <c r="J7" s="15">
        <f>INDEX(MonthlyScales50[],MATCH($A7, MonthlyScales50[Title], 0),MATCH("10/1/28", MonthlyScales50[#Headers], 0))*4.5</f>
        <v>20227.5</v>
      </c>
      <c r="K7" s="15">
        <f>INDEX(MonthlyScales50[],MATCH($A7, MonthlyScales50[Title], 0),MATCH("10/1/28", MonthlyScales50[#Headers], 0))*3</f>
        <v>13485</v>
      </c>
      <c r="L7" s="15">
        <f>INDEX(MonthlyScales50[],MATCH($A7, MonthlyScales50[Title], 0),MATCH("10/1/28", MonthlyScales50[#Headers], 0))*1.5+INDEX(MonthlyScales50[],MATCH($A7, MonthlyScales50[Title], 0),MATCH("10/1/29", MonthlyScales50[#Headers], 0))*3</f>
        <v>20716.5</v>
      </c>
      <c r="M7" s="15">
        <f>INDEX(MonthlyScales50[],MATCH($A7, MonthlyScales50[Title], 0),MATCH("10/1/29", MonthlyScales50[#Headers], 0))*4.5</f>
        <v>20961</v>
      </c>
      <c r="N7" s="15">
        <f>INDEX(MonthlyScales50[],MATCH($A7, MonthlyScales50[Title], 0),MATCH("10/1/29", MonthlyScales50[#Headers], 0))*3</f>
        <v>13974</v>
      </c>
      <c r="O7" s="15">
        <f>INDEX(MonthlyScales50[],MATCH($A7, MonthlyScales50[Title], 0),MATCH("10/1/29", MonthlyScales50[#Headers], 0))*1.5+INDEX(MonthlyScales50[],MATCH($A7, MonthlyScales50[Title], 0),MATCH("10/1/30", MonthlyScales50[#Headers], 0))*3</f>
        <v>21519.960000000003</v>
      </c>
      <c r="P7" s="15">
        <f>INDEX(MonthlyScales50[],MATCH($A7, MonthlyScales50[Title], 0),MATCH("10/1/30", MonthlyScales50[#Headers], 0))*4.5</f>
        <v>21799.440000000002</v>
      </c>
      <c r="Q7" s="15">
        <f>INDEX(MonthlyScales50[],MATCH($A7, MonthlyScales50[Title], 0),MATCH("10/1/30", MonthlyScales50[#Headers], 0))*3</f>
        <v>14532.960000000003</v>
      </c>
    </row>
    <row r="8" spans="1:17" x14ac:dyDescent="0.2">
      <c r="A8" s="2" t="s">
        <v>52</v>
      </c>
      <c r="B8" s="15">
        <f>INDEX(MonthlyScales50[],MATCH($A8, MonthlyScales50[Title], 0),MATCH("10/1/25", MonthlyScales50[#Headers], 0))*3</f>
        <v>13052.780000000002</v>
      </c>
      <c r="C8" s="15">
        <f>INDEX(MonthlyScales50[],MATCH($A8, MonthlyScales50[Title], 0),MATCH("10/1/25", MonthlyScales50[#Headers], 0))*1.5+INDEX(MonthlyScales50[],MATCH($A8, MonthlyScales50[Title], 0),MATCH("10/1/26", MonthlyScales50[#Headers], 0))*3</f>
        <v>19966.39</v>
      </c>
      <c r="D8" s="15">
        <f>INDEX(MonthlyScales50[],MATCH($A8, MonthlyScales50[Title], 0),MATCH("10/1/26", MonthlyScales50[#Headers], 0))*4.5</f>
        <v>20160</v>
      </c>
      <c r="E8" s="15">
        <f>INDEX(MonthlyScales50[],MATCH($A8, MonthlyScales50[Title], 0),MATCH("10/1/26", MonthlyScales50[#Headers], 0))*3</f>
        <v>13440</v>
      </c>
      <c r="F8" s="15">
        <f>INDEX(MonthlyScales50[],MATCH($A8, MonthlyScales50[Title], 0),MATCH("10/1/26", MonthlyScales50[#Headers], 0))*1.5+INDEX(MonthlyScales50[],MATCH($A8, MonthlyScales50[Title], 0),MATCH("10/1/27", MonthlyScales50[#Headers], 0))*3</f>
        <v>20559</v>
      </c>
      <c r="G8" s="15">
        <f>INDEX(MonthlyScales50[],MATCH($A8, MonthlyScales50[Title], 0),MATCH("10/1/27", MonthlyScales50[#Headers], 0))*4.5</f>
        <v>20758.5</v>
      </c>
      <c r="H8" s="15">
        <f>INDEX(MonthlyScales50[],MATCH($A8, MonthlyScales50[Title], 0),MATCH("10/1/27", MonthlyScales50[#Headers], 0))*3</f>
        <v>13839</v>
      </c>
      <c r="I8" s="15">
        <f>INDEX(MonthlyScales50[],MATCH($A8, MonthlyScales50[Title], 0),MATCH("10/1/27", MonthlyScales50[#Headers], 0))*1.5+INDEX(MonthlyScales50[],MATCH($A8, MonthlyScales50[Title], 0),MATCH("10/1/28", MonthlyScales50[#Headers], 0))*3</f>
        <v>21169.5</v>
      </c>
      <c r="J8" s="15">
        <f>INDEX(MonthlyScales50[],MATCH($A8, MonthlyScales50[Title], 0),MATCH("10/1/28", MonthlyScales50[#Headers], 0))*4.5</f>
        <v>21375</v>
      </c>
      <c r="K8" s="15">
        <f>INDEX(MonthlyScales50[],MATCH($A8, MonthlyScales50[Title], 0),MATCH("10/1/28", MonthlyScales50[#Headers], 0))*3</f>
        <v>14250</v>
      </c>
      <c r="L8" s="15">
        <f>INDEX(MonthlyScales50[],MATCH($A8, MonthlyScales50[Title], 0),MATCH("10/1/28", MonthlyScales50[#Headers], 0))*1.5+INDEX(MonthlyScales50[],MATCH($A8, MonthlyScales50[Title], 0),MATCH("10/1/29", MonthlyScales50[#Headers], 0))*3</f>
        <v>21798</v>
      </c>
      <c r="M8" s="15">
        <f>INDEX(MonthlyScales50[],MATCH($A8, MonthlyScales50[Title], 0),MATCH("10/1/29", MonthlyScales50[#Headers], 0))*4.5</f>
        <v>22009.5</v>
      </c>
      <c r="N8" s="15">
        <f>INDEX(MonthlyScales50[],MATCH($A8, MonthlyScales50[Title], 0),MATCH("10/1/29", MonthlyScales50[#Headers], 0))*3</f>
        <v>14673</v>
      </c>
      <c r="O8" s="15">
        <f>INDEX(MonthlyScales50[],MATCH($A8, MonthlyScales50[Title], 0),MATCH("10/1/29", MonthlyScales50[#Headers], 0))*1.5+INDEX(MonthlyScales50[],MATCH($A8, MonthlyScales50[Title], 0),MATCH("10/1/30", MonthlyScales50[#Headers], 0))*3</f>
        <v>22596.420000000002</v>
      </c>
      <c r="P8" s="15">
        <f>INDEX(MonthlyScales50[],MATCH($A8, MonthlyScales50[Title], 0),MATCH("10/1/30", MonthlyScales50[#Headers], 0))*4.5</f>
        <v>22889.88</v>
      </c>
      <c r="Q8" s="15">
        <f>INDEX(MonthlyScales50[],MATCH($A8, MonthlyScales50[Title], 0),MATCH("10/1/30", MonthlyScales50[#Headers], 0))*3</f>
        <v>15259.920000000002</v>
      </c>
    </row>
    <row r="9" spans="1:17" x14ac:dyDescent="0.2">
      <c r="A9" s="2" t="s">
        <v>2</v>
      </c>
      <c r="B9" s="15">
        <f>INDEX(MonthlyScales50[],MATCH($A9, MonthlyScales50[Title], 0),MATCH("10/1/25", MonthlyScales50[#Headers], 0))*3</f>
        <v>11786.67</v>
      </c>
      <c r="C9" s="15">
        <f>INDEX(MonthlyScales50[],MATCH($A9, MonthlyScales50[Title], 0),MATCH("10/1/25", MonthlyScales50[#Headers], 0))*1.5+INDEX(MonthlyScales50[],MATCH($A9, MonthlyScales50[Title], 0),MATCH("10/1/26", MonthlyScales50[#Headers], 0))*3</f>
        <v>18193.334999999999</v>
      </c>
      <c r="D9" s="15">
        <f>INDEX(MonthlyScales50[],MATCH($A9, MonthlyScales50[Title], 0),MATCH("10/1/26", MonthlyScales50[#Headers], 0))*4.5</f>
        <v>18450</v>
      </c>
      <c r="E9" s="15">
        <f>INDEX(MonthlyScales50[],MATCH($A9, MonthlyScales50[Title], 0),MATCH("10/1/26", MonthlyScales50[#Headers], 0))*3</f>
        <v>12300</v>
      </c>
      <c r="F9" s="15">
        <f>INDEX(MonthlyScales50[],MATCH($A9, MonthlyScales50[Title], 0),MATCH("10/1/26", MonthlyScales50[#Headers], 0))*1.5+INDEX(MonthlyScales50[],MATCH($A9, MonthlyScales50[Title], 0),MATCH("10/1/27", MonthlyScales50[#Headers], 0))*3</f>
        <v>18984</v>
      </c>
      <c r="G9" s="15">
        <f>INDEX(MonthlyScales50[],MATCH($A9, MonthlyScales50[Title], 0),MATCH("10/1/27", MonthlyScales50[#Headers], 0))*4.5</f>
        <v>19251</v>
      </c>
      <c r="H9" s="15">
        <f>INDEX(MonthlyScales50[],MATCH($A9, MonthlyScales50[Title], 0),MATCH("10/1/27", MonthlyScales50[#Headers], 0))*3</f>
        <v>12834</v>
      </c>
      <c r="I9" s="15">
        <f>INDEX(MonthlyScales50[],MATCH($A9, MonthlyScales50[Title], 0),MATCH("10/1/27", MonthlyScales50[#Headers], 0))*1.5+INDEX(MonthlyScales50[],MATCH($A9, MonthlyScales50[Title], 0),MATCH("10/1/28", MonthlyScales50[#Headers], 0))*3</f>
        <v>19809</v>
      </c>
      <c r="J9" s="15">
        <f>INDEX(MonthlyScales50[],MATCH($A9, MonthlyScales50[Title], 0),MATCH("10/1/28", MonthlyScales50[#Headers], 0))*4.5</f>
        <v>20088</v>
      </c>
      <c r="K9" s="15">
        <f>INDEX(MonthlyScales50[],MATCH($A9, MonthlyScales50[Title], 0),MATCH("10/1/28", MonthlyScales50[#Headers], 0))*3</f>
        <v>13392</v>
      </c>
      <c r="L9" s="15">
        <f>INDEX(MonthlyScales50[],MATCH($A9, MonthlyScales50[Title], 0),MATCH("10/1/28", MonthlyScales50[#Headers], 0))*1.5+INDEX(MonthlyScales50[],MATCH($A9, MonthlyScales50[Title], 0),MATCH("10/1/29", MonthlyScales50[#Headers], 0))*3</f>
        <v>20670</v>
      </c>
      <c r="M9" s="15">
        <f>INDEX(MonthlyScales50[],MATCH($A9, MonthlyScales50[Title], 0),MATCH("10/1/29", MonthlyScales50[#Headers], 0))*4.5</f>
        <v>20961</v>
      </c>
      <c r="N9" s="15">
        <f>INDEX(MonthlyScales50[],MATCH($A9, MonthlyScales50[Title], 0),MATCH("10/1/29", MonthlyScales50[#Headers], 0))*3</f>
        <v>13974</v>
      </c>
      <c r="O9" s="15">
        <f>INDEX(MonthlyScales50[],MATCH($A9, MonthlyScales50[Title], 0),MATCH("10/1/29", MonthlyScales50[#Headers], 0))*1.5+INDEX(MonthlyScales50[],MATCH($A9, MonthlyScales50[Title], 0),MATCH("10/1/30", MonthlyScales50[#Headers], 0))*3</f>
        <v>21519.960000000003</v>
      </c>
      <c r="P9" s="15">
        <f>INDEX(MonthlyScales50[],MATCH($A9, MonthlyScales50[Title], 0),MATCH("10/1/30", MonthlyScales50[#Headers], 0))*4.5</f>
        <v>21799.440000000002</v>
      </c>
      <c r="Q9" s="15">
        <f>INDEX(MonthlyScales50[],MATCH($A9, MonthlyScales50[Title], 0),MATCH("10/1/30", MonthlyScales50[#Headers], 0))*3</f>
        <v>14532.960000000003</v>
      </c>
    </row>
    <row r="10" spans="1:17" x14ac:dyDescent="0.2">
      <c r="A10" s="5" t="s">
        <v>53</v>
      </c>
      <c r="B10" s="15">
        <f>INDEX(MonthlyScales50[],MATCH($A10, MonthlyScales50[Title], 0),MATCH("10/1/25", MonthlyScales50[#Headers], 0))*3</f>
        <v>12140.34</v>
      </c>
      <c r="C10" s="15">
        <f>INDEX(MonthlyScales50[],MATCH($A10, MonthlyScales50[Title], 0),MATCH("10/1/25", MonthlyScales50[#Headers], 0))*1.5+INDEX(MonthlyScales50[],MATCH($A10, MonthlyScales50[Title], 0),MATCH("10/1/26", MonthlyScales50[#Headers], 0))*3</f>
        <v>18799.169999999998</v>
      </c>
      <c r="D10" s="15">
        <f>INDEX(MonthlyScales50[],MATCH($A10, MonthlyScales50[Title], 0),MATCH("10/1/26", MonthlyScales50[#Headers], 0))*4.5</f>
        <v>19093.5</v>
      </c>
      <c r="E10" s="15">
        <f>INDEX(MonthlyScales50[],MATCH($A10, MonthlyScales50[Title], 0),MATCH("10/1/26", MonthlyScales50[#Headers], 0))*3</f>
        <v>12729</v>
      </c>
      <c r="F10" s="15">
        <f>INDEX(MonthlyScales50[],MATCH($A10, MonthlyScales50[Title], 0),MATCH("10/1/26", MonthlyScales50[#Headers], 0))*1.5+INDEX(MonthlyScales50[],MATCH($A10, MonthlyScales50[Title], 0),MATCH("10/1/27", MonthlyScales50[#Headers], 0))*3</f>
        <v>19711.5</v>
      </c>
      <c r="G10" s="15">
        <f>INDEX(MonthlyScales50[],MATCH($A10, MonthlyScales50[Title], 0),MATCH("10/1/27", MonthlyScales50[#Headers], 0))*4.5</f>
        <v>20020.5</v>
      </c>
      <c r="H10" s="15">
        <f>INDEX(MonthlyScales50[],MATCH($A10, MonthlyScales50[Title], 0),MATCH("10/1/27", MonthlyScales50[#Headers], 0))*3</f>
        <v>13347</v>
      </c>
      <c r="I10" s="15">
        <f>INDEX(MonthlyScales50[],MATCH($A10, MonthlyScales50[Title], 0),MATCH("10/1/27", MonthlyScales50[#Headers], 0))*1.5+INDEX(MonthlyScales50[],MATCH($A10, MonthlyScales50[Title], 0),MATCH("10/1/28", MonthlyScales50[#Headers], 0))*3</f>
        <v>20668.5</v>
      </c>
      <c r="J10" s="15">
        <f>INDEX(MonthlyScales50[],MATCH($A10, MonthlyScales50[Title], 0),MATCH("10/1/28", MonthlyScales50[#Headers], 0))*4.5</f>
        <v>20992.5</v>
      </c>
      <c r="K10" s="15">
        <f>INDEX(MonthlyScales50[],MATCH($A10, MonthlyScales50[Title], 0),MATCH("10/1/28", MonthlyScales50[#Headers], 0))*3</f>
        <v>13995</v>
      </c>
      <c r="L10" s="15">
        <f>INDEX(MonthlyScales50[],MATCH($A10, MonthlyScales50[Title], 0),MATCH("10/1/28", MonthlyScales50[#Headers], 0))*1.5+INDEX(MonthlyScales50[],MATCH($A10, MonthlyScales50[Title], 0),MATCH("10/1/29", MonthlyScales50[#Headers], 0))*3</f>
        <v>21670.5</v>
      </c>
      <c r="M10" s="15">
        <f>INDEX(MonthlyScales50[],MATCH($A10, MonthlyScales50[Title], 0),MATCH("10/1/29", MonthlyScales50[#Headers], 0))*4.5</f>
        <v>22009.5</v>
      </c>
      <c r="N10" s="15">
        <f>INDEX(MonthlyScales50[],MATCH($A10, MonthlyScales50[Title], 0),MATCH("10/1/29", MonthlyScales50[#Headers], 0))*3</f>
        <v>14673</v>
      </c>
      <c r="O10" s="15">
        <f>INDEX(MonthlyScales50[],MATCH($A10, MonthlyScales50[Title], 0),MATCH("10/1/29", MonthlyScales50[#Headers], 0))*1.5+INDEX(MonthlyScales50[],MATCH($A10, MonthlyScales50[Title], 0),MATCH("10/1/30", MonthlyScales50[#Headers], 0))*3</f>
        <v>22596.420000000002</v>
      </c>
      <c r="P10" s="15">
        <f>INDEX(MonthlyScales50[],MATCH($A10, MonthlyScales50[Title], 0),MATCH("10/1/30", MonthlyScales50[#Headers], 0))*4.5</f>
        <v>22889.88</v>
      </c>
      <c r="Q10" s="15">
        <f>INDEX(MonthlyScales50[],MATCH($A10, MonthlyScales50[Title], 0),MATCH("10/1/30", MonthlyScales50[#Headers], 0))*3</f>
        <v>15259.920000000002</v>
      </c>
    </row>
    <row r="11" spans="1:17" x14ac:dyDescent="0.2">
      <c r="A11" s="5" t="s">
        <v>54</v>
      </c>
      <c r="B11" s="15">
        <f>INDEX(MonthlyScales50[],MATCH($A11, MonthlyScales50[Title], 0),MATCH("10/1/25", MonthlyScales50[#Headers], 0))*3</f>
        <v>12504.494999999999</v>
      </c>
      <c r="C11" s="15">
        <f>INDEX(MonthlyScales50[],MATCH($A11, MonthlyScales50[Title], 0),MATCH("10/1/25", MonthlyScales50[#Headers], 0))*1.5+INDEX(MonthlyScales50[],MATCH($A11, MonthlyScales50[Title], 0),MATCH("10/1/26", MonthlyScales50[#Headers], 0))*3</f>
        <v>19362.247499999998</v>
      </c>
      <c r="D11" s="15">
        <f>INDEX(MonthlyScales50[],MATCH($A11, MonthlyScales50[Title], 0),MATCH("10/1/26", MonthlyScales50[#Headers], 0))*4.5</f>
        <v>19665</v>
      </c>
      <c r="E11" s="15">
        <f>INDEX(MonthlyScales50[],MATCH($A11, MonthlyScales50[Title], 0),MATCH("10/1/26", MonthlyScales50[#Headers], 0))*3</f>
        <v>13110</v>
      </c>
      <c r="F11" s="15">
        <f>INDEX(MonthlyScales50[],MATCH($A11, MonthlyScales50[Title], 0),MATCH("10/1/26", MonthlyScales50[#Headers], 0))*1.5+INDEX(MonthlyScales50[],MATCH($A11, MonthlyScales50[Title], 0),MATCH("10/1/27", MonthlyScales50[#Headers], 0))*3</f>
        <v>20301</v>
      </c>
      <c r="G11" s="15">
        <f>INDEX(MonthlyScales50[],MATCH($A11, MonthlyScales50[Title], 0),MATCH("10/1/27", MonthlyScales50[#Headers], 0))*4.5</f>
        <v>20619</v>
      </c>
      <c r="H11" s="15">
        <f>INDEX(MonthlyScales50[],MATCH($A11, MonthlyScales50[Title], 0),MATCH("10/1/27", MonthlyScales50[#Headers], 0))*3</f>
        <v>13746</v>
      </c>
      <c r="I11" s="15">
        <f>INDEX(MonthlyScales50[],MATCH($A11, MonthlyScales50[Title], 0),MATCH("10/1/27", MonthlyScales50[#Headers], 0))*1.5+INDEX(MonthlyScales50[],MATCH($A11, MonthlyScales50[Title], 0),MATCH("10/1/28", MonthlyScales50[#Headers], 0))*3</f>
        <v>21288</v>
      </c>
      <c r="J11" s="15">
        <f>INDEX(MonthlyScales50[],MATCH($A11, MonthlyScales50[Title], 0),MATCH("10/1/28", MonthlyScales50[#Headers], 0))*4.5</f>
        <v>21622.5</v>
      </c>
      <c r="K11" s="15">
        <f>INDEX(MonthlyScales50[],MATCH($A11, MonthlyScales50[Title], 0),MATCH("10/1/28", MonthlyScales50[#Headers], 0))*3</f>
        <v>14415</v>
      </c>
      <c r="L11" s="15">
        <f>INDEX(MonthlyScales50[],MATCH($A11, MonthlyScales50[Title], 0),MATCH("10/1/28", MonthlyScales50[#Headers], 0))*1.5+INDEX(MonthlyScales50[],MATCH($A11, MonthlyScales50[Title], 0),MATCH("10/1/29", MonthlyScales50[#Headers], 0))*3</f>
        <v>22321.5</v>
      </c>
      <c r="M11" s="15">
        <f>INDEX(MonthlyScales50[],MATCH($A11, MonthlyScales50[Title], 0),MATCH("10/1/29", MonthlyScales50[#Headers], 0))*4.5</f>
        <v>22671</v>
      </c>
      <c r="N11" s="15">
        <f>INDEX(MonthlyScales50[],MATCH($A11, MonthlyScales50[Title], 0),MATCH("10/1/29", MonthlyScales50[#Headers], 0))*3</f>
        <v>15114</v>
      </c>
      <c r="O11" s="15">
        <f>INDEX(MonthlyScales50[],MATCH($A11, MonthlyScales50[Title], 0),MATCH("10/1/29", MonthlyScales50[#Headers], 0))*1.5+INDEX(MonthlyScales50[],MATCH($A11, MonthlyScales50[Title], 0),MATCH("10/1/30", MonthlyScales50[#Headers], 0))*3</f>
        <v>23275.56</v>
      </c>
      <c r="P11" s="15">
        <f>INDEX(MonthlyScales50[],MATCH($A11, MonthlyScales50[Title], 0),MATCH("10/1/30", MonthlyScales50[#Headers], 0))*4.5</f>
        <v>23577.840000000004</v>
      </c>
      <c r="Q11" s="15">
        <f>INDEX(MonthlyScales50[],MATCH($A11, MonthlyScales50[Title], 0),MATCH("10/1/30", MonthlyScales50[#Headers], 0))*3</f>
        <v>15718.560000000001</v>
      </c>
    </row>
    <row r="12" spans="1:17" x14ac:dyDescent="0.2">
      <c r="A12" s="2" t="s">
        <v>55</v>
      </c>
      <c r="B12" s="15">
        <f>INDEX(MonthlyScales50[],MATCH($A12, MonthlyScales50[Title], 0),MATCH("10/1/25", MonthlyScales50[#Headers], 0))*3</f>
        <v>13990.170000000002</v>
      </c>
      <c r="C12" s="15">
        <f>INDEX(MonthlyScales50[],MATCH($A12, MonthlyScales50[Title], 0),MATCH("10/1/25", MonthlyScales50[#Headers], 0))*1.5+INDEX(MonthlyScales50[],MATCH($A12, MonthlyScales50[Title], 0),MATCH("10/1/26", MonthlyScales50[#Headers], 0))*3</f>
        <v>6995.0850000000009</v>
      </c>
      <c r="D12" s="15">
        <f>INDEX(MonthlyScales50[],MATCH($A12, MonthlyScales50[Title], 0),MATCH("10/1/26", MonthlyScales50[#Headers], 0))*4.5</f>
        <v>0</v>
      </c>
      <c r="E12" s="15">
        <f>INDEX(MonthlyScales50[],MATCH($A12, MonthlyScales50[Title], 0),MATCH("10/1/26", MonthlyScales50[#Headers], 0))*3</f>
        <v>0</v>
      </c>
      <c r="F12" s="15">
        <f>INDEX(MonthlyScales50[],MATCH($A12, MonthlyScales50[Title], 0),MATCH("10/1/26", MonthlyScales50[#Headers], 0))*1.5+INDEX(MonthlyScales50[],MATCH($A12, MonthlyScales50[Title], 0),MATCH("10/1/27", MonthlyScales50[#Headers], 0))*3</f>
        <v>0</v>
      </c>
      <c r="G12" s="15">
        <f>INDEX(MonthlyScales50[],MATCH($A12, MonthlyScales50[Title], 0),MATCH("10/1/27", MonthlyScales50[#Headers], 0))*4.5</f>
        <v>0</v>
      </c>
      <c r="H12" s="15">
        <f>INDEX(MonthlyScales50[],MATCH($A12, MonthlyScales50[Title], 0),MATCH("10/1/27", MonthlyScales50[#Headers], 0))*3</f>
        <v>0</v>
      </c>
      <c r="I12" s="15">
        <f>INDEX(MonthlyScales50[],MATCH($A12, MonthlyScales50[Title], 0),MATCH("10/1/27", MonthlyScales50[#Headers], 0))*1.5+INDEX(MonthlyScales50[],MATCH($A12, MonthlyScales50[Title], 0),MATCH("10/1/28", MonthlyScales50[#Headers], 0))*3</f>
        <v>0</v>
      </c>
      <c r="J12" s="15">
        <f>INDEX(MonthlyScales50[],MATCH($A12, MonthlyScales50[Title], 0),MATCH("10/1/28", MonthlyScales50[#Headers], 0))*4.5</f>
        <v>0</v>
      </c>
      <c r="K12" s="15">
        <f>INDEX(MonthlyScales50[],MATCH($A12, MonthlyScales50[Title], 0),MATCH("10/1/28", MonthlyScales50[#Headers], 0))*3</f>
        <v>0</v>
      </c>
      <c r="L12" s="15">
        <f>INDEX(MonthlyScales50[],MATCH($A12, MonthlyScales50[Title], 0),MATCH("10/1/28", MonthlyScales50[#Headers], 0))*1.5+INDEX(MonthlyScales50[],MATCH($A12, MonthlyScales50[Title], 0),MATCH("10/1/29", MonthlyScales50[#Headers], 0))*3</f>
        <v>0</v>
      </c>
      <c r="M12" s="15">
        <f>INDEX(MonthlyScales50[],MATCH($A12, MonthlyScales50[Title], 0),MATCH("10/1/29", MonthlyScales50[#Headers], 0))*4.5</f>
        <v>0</v>
      </c>
      <c r="N12" s="15">
        <f>INDEX(MonthlyScales50[],MATCH($A12, MonthlyScales50[Title], 0),MATCH("10/1/29", MonthlyScales50[#Headers], 0))*3</f>
        <v>0</v>
      </c>
      <c r="O12" s="15">
        <f>INDEX(MonthlyScales50[],MATCH($A12, MonthlyScales50[Title], 0),MATCH("10/1/29", MonthlyScales50[#Headers], 0))*1.5+INDEX(MonthlyScales50[],MATCH($A12, MonthlyScales50[Title], 0),MATCH("10/1/30", MonthlyScales50[#Headers], 0))*3</f>
        <v>0</v>
      </c>
      <c r="P12" s="15">
        <f>INDEX(MonthlyScales50[],MATCH($A12, MonthlyScales50[Title], 0),MATCH("10/1/30", MonthlyScales50[#Headers], 0))*4.5</f>
        <v>0</v>
      </c>
      <c r="Q12" s="15">
        <f>INDEX(MonthlyScales50[],MATCH($A12, MonthlyScales50[Title], 0),MATCH("10/1/30", MonthlyScales50[#Headers], 0))*3</f>
        <v>0</v>
      </c>
    </row>
    <row r="13" spans="1:17" x14ac:dyDescent="0.2">
      <c r="A13" s="2" t="s">
        <v>56</v>
      </c>
      <c r="B13" s="15">
        <f>INDEX(MonthlyScales50[],MATCH($A13, MonthlyScales50[Title], 0),MATCH("10/1/25", MonthlyScales50[#Headers], 0))*3</f>
        <v>12349.32</v>
      </c>
      <c r="C13" s="15">
        <f>INDEX(MonthlyScales50[],MATCH($A13, MonthlyScales50[Title], 0),MATCH("10/1/25", MonthlyScales50[#Headers], 0))*1.5+INDEX(MonthlyScales50[],MATCH($A13, MonthlyScales50[Title], 0),MATCH("10/1/26", MonthlyScales50[#Headers], 0))*3</f>
        <v>19068.66</v>
      </c>
      <c r="D13" s="15">
        <f>INDEX(MonthlyScales50[],MATCH($A13, MonthlyScales50[Title], 0),MATCH("10/1/26", MonthlyScales50[#Headers], 0))*4.5</f>
        <v>19341</v>
      </c>
      <c r="E13" s="15">
        <f>INDEX(MonthlyScales50[],MATCH($A13, MonthlyScales50[Title], 0),MATCH("10/1/26", MonthlyScales50[#Headers], 0))*3</f>
        <v>12894</v>
      </c>
      <c r="F13" s="15">
        <f>INDEX(MonthlyScales50[],MATCH($A13, MonthlyScales50[Title], 0),MATCH("10/1/26", MonthlyScales50[#Headers], 0))*1.5+INDEX(MonthlyScales50[],MATCH($A13, MonthlyScales50[Title], 0),MATCH("10/1/27", MonthlyScales50[#Headers], 0))*3</f>
        <v>19908</v>
      </c>
      <c r="G13" s="15">
        <f>INDEX(MonthlyScales50[],MATCH($A13, MonthlyScales50[Title], 0),MATCH("10/1/27", MonthlyScales50[#Headers], 0))*4.5</f>
        <v>20191.5</v>
      </c>
      <c r="H13" s="15">
        <f>INDEX(MonthlyScales50[],MATCH($A13, MonthlyScales50[Title], 0),MATCH("10/1/27", MonthlyScales50[#Headers], 0))*3</f>
        <v>13461</v>
      </c>
      <c r="I13" s="15">
        <f>INDEX(MonthlyScales50[],MATCH($A13, MonthlyScales50[Title], 0),MATCH("10/1/27", MonthlyScales50[#Headers], 0))*1.5+INDEX(MonthlyScales50[],MATCH($A13, MonthlyScales50[Title], 0),MATCH("10/1/28", MonthlyScales50[#Headers], 0))*3</f>
        <v>20782.5</v>
      </c>
      <c r="J13" s="15">
        <f>INDEX(MonthlyScales50[],MATCH($A13, MonthlyScales50[Title], 0),MATCH("10/1/28", MonthlyScales50[#Headers], 0))*4.5</f>
        <v>21078</v>
      </c>
      <c r="K13" s="15">
        <f>INDEX(MonthlyScales50[],MATCH($A13, MonthlyScales50[Title], 0),MATCH("10/1/28", MonthlyScales50[#Headers], 0))*3</f>
        <v>14052</v>
      </c>
      <c r="L13" s="15">
        <f>INDEX(MonthlyScales50[],MATCH($A13, MonthlyScales50[Title], 0),MATCH("10/1/28", MonthlyScales50[#Headers], 0))*1.5+INDEX(MonthlyScales50[],MATCH($A13, MonthlyScales50[Title], 0),MATCH("10/1/29", MonthlyScales50[#Headers], 0))*3</f>
        <v>21699</v>
      </c>
      <c r="M13" s="15">
        <f>INDEX(MonthlyScales50[],MATCH($A13, MonthlyScales50[Title], 0),MATCH("10/1/29", MonthlyScales50[#Headers], 0))*4.5</f>
        <v>22009.5</v>
      </c>
      <c r="N13" s="15">
        <f>INDEX(MonthlyScales50[],MATCH($A13, MonthlyScales50[Title], 0),MATCH("10/1/29", MonthlyScales50[#Headers], 0))*3</f>
        <v>14673</v>
      </c>
      <c r="O13" s="15">
        <f>INDEX(MonthlyScales50[],MATCH($A13, MonthlyScales50[Title], 0),MATCH("10/1/29", MonthlyScales50[#Headers], 0))*1.5+INDEX(MonthlyScales50[],MATCH($A13, MonthlyScales50[Title], 0),MATCH("10/1/30", MonthlyScales50[#Headers], 0))*3</f>
        <v>22596.420000000002</v>
      </c>
      <c r="P13" s="15">
        <f>INDEX(MonthlyScales50[],MATCH($A13, MonthlyScales50[Title], 0),MATCH("10/1/30", MonthlyScales50[#Headers], 0))*4.5</f>
        <v>22889.88</v>
      </c>
      <c r="Q13" s="15">
        <f>INDEX(MonthlyScales50[],MATCH($A13, MonthlyScales50[Title], 0),MATCH("10/1/30", MonthlyScales50[#Headers], 0))*3</f>
        <v>15259.920000000002</v>
      </c>
    </row>
    <row r="14" spans="1:17" x14ac:dyDescent="0.2">
      <c r="A14" s="2" t="s">
        <v>57</v>
      </c>
      <c r="B14" s="15">
        <f>INDEX(MonthlyScales50[],MATCH($A14, MonthlyScales50[Title], 0),MATCH("10/1/25", MonthlyScales50[#Headers], 0))*3</f>
        <v>12719.82</v>
      </c>
      <c r="C14" s="15">
        <f>INDEX(MonthlyScales50[],MATCH($A14, MonthlyScales50[Title], 0),MATCH("10/1/25", MonthlyScales50[#Headers], 0))*1.5+INDEX(MonthlyScales50[],MATCH($A14, MonthlyScales50[Title], 0),MATCH("10/1/26", MonthlyScales50[#Headers], 0))*3</f>
        <v>19637.91</v>
      </c>
      <c r="D14" s="15">
        <f>INDEX(MonthlyScales50[],MATCH($A14, MonthlyScales50[Title], 0),MATCH("10/1/26", MonthlyScales50[#Headers], 0))*4.5</f>
        <v>19917</v>
      </c>
      <c r="E14" s="15">
        <f>INDEX(MonthlyScales50[],MATCH($A14, MonthlyScales50[Title], 0),MATCH("10/1/26", MonthlyScales50[#Headers], 0))*3</f>
        <v>13278</v>
      </c>
      <c r="F14" s="15">
        <f>INDEX(MonthlyScales50[],MATCH($A14, MonthlyScales50[Title], 0),MATCH("10/1/26", MonthlyScales50[#Headers], 0))*1.5+INDEX(MonthlyScales50[],MATCH($A14, MonthlyScales50[Title], 0),MATCH("10/1/27", MonthlyScales50[#Headers], 0))*3</f>
        <v>20502</v>
      </c>
      <c r="G14" s="15">
        <f>INDEX(MonthlyScales50[],MATCH($A14, MonthlyScales50[Title], 0),MATCH("10/1/27", MonthlyScales50[#Headers], 0))*4.5</f>
        <v>20794.5</v>
      </c>
      <c r="H14" s="15">
        <f>INDEX(MonthlyScales50[],MATCH($A14, MonthlyScales50[Title], 0),MATCH("10/1/27", MonthlyScales50[#Headers], 0))*3</f>
        <v>13863</v>
      </c>
      <c r="I14" s="15">
        <f>INDEX(MonthlyScales50[],MATCH($A14, MonthlyScales50[Title], 0),MATCH("10/1/27", MonthlyScales50[#Headers], 0))*1.5+INDEX(MonthlyScales50[],MATCH($A14, MonthlyScales50[Title], 0),MATCH("10/1/28", MonthlyScales50[#Headers], 0))*3</f>
        <v>21406.5</v>
      </c>
      <c r="J14" s="15">
        <f>INDEX(MonthlyScales50[],MATCH($A14, MonthlyScales50[Title], 0),MATCH("10/1/28", MonthlyScales50[#Headers], 0))*4.5</f>
        <v>21712.5</v>
      </c>
      <c r="K14" s="15">
        <f>INDEX(MonthlyScales50[],MATCH($A14, MonthlyScales50[Title], 0),MATCH("10/1/28", MonthlyScales50[#Headers], 0))*3</f>
        <v>14475</v>
      </c>
      <c r="L14" s="15">
        <f>INDEX(MonthlyScales50[],MATCH($A14, MonthlyScales50[Title], 0),MATCH("10/1/28", MonthlyScales50[#Headers], 0))*1.5+INDEX(MonthlyScales50[],MATCH($A14, MonthlyScales50[Title], 0),MATCH("10/1/29", MonthlyScales50[#Headers], 0))*3</f>
        <v>22351.5</v>
      </c>
      <c r="M14" s="15">
        <f>INDEX(MonthlyScales50[],MATCH($A14, MonthlyScales50[Title], 0),MATCH("10/1/29", MonthlyScales50[#Headers], 0))*4.5</f>
        <v>22671</v>
      </c>
      <c r="N14" s="15">
        <f>INDEX(MonthlyScales50[],MATCH($A14, MonthlyScales50[Title], 0),MATCH("10/1/29", MonthlyScales50[#Headers], 0))*3</f>
        <v>15114</v>
      </c>
      <c r="O14" s="15">
        <f>INDEX(MonthlyScales50[],MATCH($A14, MonthlyScales50[Title], 0),MATCH("10/1/29", MonthlyScales50[#Headers], 0))*1.5+INDEX(MonthlyScales50[],MATCH($A14, MonthlyScales50[Title], 0),MATCH("10/1/30", MonthlyScales50[#Headers], 0))*3</f>
        <v>23275.56</v>
      </c>
      <c r="P14" s="15">
        <f>INDEX(MonthlyScales50[],MATCH($A14, MonthlyScales50[Title], 0),MATCH("10/1/30", MonthlyScales50[#Headers], 0))*4.5</f>
        <v>23577.840000000004</v>
      </c>
      <c r="Q14" s="15">
        <f>INDEX(MonthlyScales50[],MATCH($A14, MonthlyScales50[Title], 0),MATCH("10/1/30", MonthlyScales50[#Headers], 0))*3</f>
        <v>15718.560000000001</v>
      </c>
    </row>
    <row r="15" spans="1:17" x14ac:dyDescent="0.2">
      <c r="A15" s="2" t="s">
        <v>58</v>
      </c>
      <c r="B15" s="15">
        <f>INDEX(MonthlyScales50[],MATCH($A15, MonthlyScales50[Title], 0),MATCH("10/1/25", MonthlyScales50[#Headers], 0))*3</f>
        <v>13101.51</v>
      </c>
      <c r="C15" s="15">
        <f>INDEX(MonthlyScales50[],MATCH($A15, MonthlyScales50[Title], 0),MATCH("10/1/25", MonthlyScales50[#Headers], 0))*1.5+INDEX(MonthlyScales50[],MATCH($A15, MonthlyScales50[Title], 0),MATCH("10/1/26", MonthlyScales50[#Headers], 0))*3</f>
        <v>20293.755000000001</v>
      </c>
      <c r="D15" s="15">
        <f>INDEX(MonthlyScales50[],MATCH($A15, MonthlyScales50[Title], 0),MATCH("10/1/26", MonthlyScales50[#Headers], 0))*4.5</f>
        <v>20614.5</v>
      </c>
      <c r="E15" s="15">
        <f>INDEX(MonthlyScales50[],MATCH($A15, MonthlyScales50[Title], 0),MATCH("10/1/26", MonthlyScales50[#Headers], 0))*3</f>
        <v>13743</v>
      </c>
      <c r="F15" s="15">
        <f>INDEX(MonthlyScales50[],MATCH($A15, MonthlyScales50[Title], 0),MATCH("10/1/26", MonthlyScales50[#Headers], 0))*1.5+INDEX(MonthlyScales50[],MATCH($A15, MonthlyScales50[Title], 0),MATCH("10/1/27", MonthlyScales50[#Headers], 0))*3</f>
        <v>21289.5</v>
      </c>
      <c r="G15" s="15">
        <f>INDEX(MonthlyScales50[],MATCH($A15, MonthlyScales50[Title], 0),MATCH("10/1/27", MonthlyScales50[#Headers], 0))*4.5</f>
        <v>21627</v>
      </c>
      <c r="H15" s="15">
        <f>INDEX(MonthlyScales50[],MATCH($A15, MonthlyScales50[Title], 0),MATCH("10/1/27", MonthlyScales50[#Headers], 0))*3</f>
        <v>14418</v>
      </c>
      <c r="I15" s="15">
        <f>INDEX(MonthlyScales50[],MATCH($A15, MonthlyScales50[Title], 0),MATCH("10/1/27", MonthlyScales50[#Headers], 0))*1.5+INDEX(MonthlyScales50[],MATCH($A15, MonthlyScales50[Title], 0),MATCH("10/1/28", MonthlyScales50[#Headers], 0))*3</f>
        <v>22332</v>
      </c>
      <c r="J15" s="15">
        <f>INDEX(MonthlyScales50[],MATCH($A15, MonthlyScales50[Title], 0),MATCH("10/1/28", MonthlyScales50[#Headers], 0))*4.5</f>
        <v>22684.5</v>
      </c>
      <c r="K15" s="15">
        <f>INDEX(MonthlyScales50[],MATCH($A15, MonthlyScales50[Title], 0),MATCH("10/1/28", MonthlyScales50[#Headers], 0))*3</f>
        <v>15123</v>
      </c>
      <c r="L15" s="15">
        <f>INDEX(MonthlyScales50[],MATCH($A15, MonthlyScales50[Title], 0),MATCH("10/1/28", MonthlyScales50[#Headers], 0))*1.5+INDEX(MonthlyScales50[],MATCH($A15, MonthlyScales50[Title], 0),MATCH("10/1/29", MonthlyScales50[#Headers], 0))*3</f>
        <v>23431.5</v>
      </c>
      <c r="M15" s="15">
        <f>INDEX(MonthlyScales50[],MATCH($A15, MonthlyScales50[Title], 0),MATCH("10/1/29", MonthlyScales50[#Headers], 0))*4.5</f>
        <v>23805</v>
      </c>
      <c r="N15" s="15">
        <f>INDEX(MonthlyScales50[],MATCH($A15, MonthlyScales50[Title], 0),MATCH("10/1/29", MonthlyScales50[#Headers], 0))*3</f>
        <v>15870</v>
      </c>
      <c r="O15" s="15">
        <f>INDEX(MonthlyScales50[],MATCH($A15, MonthlyScales50[Title], 0),MATCH("10/1/29", MonthlyScales50[#Headers], 0))*1.5+INDEX(MonthlyScales50[],MATCH($A15, MonthlyScales50[Title], 0),MATCH("10/1/30", MonthlyScales50[#Headers], 0))*3</f>
        <v>24439.800000000003</v>
      </c>
      <c r="P15" s="15">
        <f>INDEX(MonthlyScales50[],MATCH($A15, MonthlyScales50[Title], 0),MATCH("10/1/30", MonthlyScales50[#Headers], 0))*4.5</f>
        <v>24757.200000000001</v>
      </c>
      <c r="Q15" s="15">
        <f>INDEX(MonthlyScales50[],MATCH($A15, MonthlyScales50[Title], 0),MATCH("10/1/30", MonthlyScales50[#Headers], 0))*3</f>
        <v>16504.800000000003</v>
      </c>
    </row>
    <row r="16" spans="1:17" x14ac:dyDescent="0.2">
      <c r="A16" s="2" t="s">
        <v>59</v>
      </c>
      <c r="B16" s="15">
        <f>INDEX(MonthlyScales50[],MATCH($A16, MonthlyScales50[Title], 0),MATCH("10/1/25", MonthlyScales50[#Headers], 0))*3</f>
        <v>13494.51</v>
      </c>
      <c r="C16" s="15">
        <f>INDEX(MonthlyScales50[],MATCH($A16, MonthlyScales50[Title], 0),MATCH("10/1/25", MonthlyScales50[#Headers], 0))*1.5+INDEX(MonthlyScales50[],MATCH($A16, MonthlyScales50[Title], 0),MATCH("10/1/26", MonthlyScales50[#Headers], 0))*3</f>
        <v>20796.255000000001</v>
      </c>
      <c r="D16" s="15">
        <f>INDEX(MonthlyScales50[],MATCH($A16, MonthlyScales50[Title], 0),MATCH("10/1/26", MonthlyScales50[#Headers], 0))*4.5</f>
        <v>21073.5</v>
      </c>
      <c r="E16" s="15">
        <f>INDEX(MonthlyScales50[],MATCH($A16, MonthlyScales50[Title], 0),MATCH("10/1/26", MonthlyScales50[#Headers], 0))*3</f>
        <v>14049</v>
      </c>
      <c r="F16" s="15">
        <f>INDEX(MonthlyScales50[],MATCH($A16, MonthlyScales50[Title], 0),MATCH("10/1/26", MonthlyScales50[#Headers], 0))*1.5+INDEX(MonthlyScales50[],MATCH($A16, MonthlyScales50[Title], 0),MATCH("10/1/27", MonthlyScales50[#Headers], 0))*3</f>
        <v>21649.5</v>
      </c>
      <c r="G16" s="15">
        <f>INDEX(MonthlyScales50[],MATCH($A16, MonthlyScales50[Title], 0),MATCH("10/1/27", MonthlyScales50[#Headers], 0))*4.5</f>
        <v>21937.5</v>
      </c>
      <c r="H16" s="15">
        <f>INDEX(MonthlyScales50[],MATCH($A16, MonthlyScales50[Title], 0),MATCH("10/1/27", MonthlyScales50[#Headers], 0))*3</f>
        <v>14625</v>
      </c>
      <c r="I16" s="15">
        <f>INDEX(MonthlyScales50[],MATCH($A16, MonthlyScales50[Title], 0),MATCH("10/1/27", MonthlyScales50[#Headers], 0))*1.5+INDEX(MonthlyScales50[],MATCH($A16, MonthlyScales50[Title], 0),MATCH("10/1/28", MonthlyScales50[#Headers], 0))*3</f>
        <v>22534.5</v>
      </c>
      <c r="J16" s="15">
        <f>INDEX(MonthlyScales50[],MATCH($A16, MonthlyScales50[Title], 0),MATCH("10/1/28", MonthlyScales50[#Headers], 0))*4.5</f>
        <v>22833</v>
      </c>
      <c r="K16" s="15">
        <f>INDEX(MonthlyScales50[],MATCH($A16, MonthlyScales50[Title], 0),MATCH("10/1/28", MonthlyScales50[#Headers], 0))*3</f>
        <v>15222</v>
      </c>
      <c r="L16" s="15">
        <f>INDEX(MonthlyScales50[],MATCH($A16, MonthlyScales50[Title], 0),MATCH("10/1/28", MonthlyScales50[#Headers], 0))*1.5+INDEX(MonthlyScales50[],MATCH($A16, MonthlyScales50[Title], 0),MATCH("10/1/29", MonthlyScales50[#Headers], 0))*3</f>
        <v>23481</v>
      </c>
      <c r="M16" s="15">
        <f>INDEX(MonthlyScales50[],MATCH($A16, MonthlyScales50[Title], 0),MATCH("10/1/29", MonthlyScales50[#Headers], 0))*4.5</f>
        <v>23805</v>
      </c>
      <c r="N16" s="15">
        <f>INDEX(MonthlyScales50[],MATCH($A16, MonthlyScales50[Title], 0),MATCH("10/1/29", MonthlyScales50[#Headers], 0))*3</f>
        <v>15870</v>
      </c>
      <c r="O16" s="15">
        <f>INDEX(MonthlyScales50[],MATCH($A16, MonthlyScales50[Title], 0),MATCH("10/1/29", MonthlyScales50[#Headers], 0))*1.5+INDEX(MonthlyScales50[],MATCH($A16, MonthlyScales50[Title], 0),MATCH("10/1/30", MonthlyScales50[#Headers], 0))*3</f>
        <v>24439.800000000003</v>
      </c>
      <c r="P16" s="15">
        <f>INDEX(MonthlyScales50[],MATCH($A16, MonthlyScales50[Title], 0),MATCH("10/1/30", MonthlyScales50[#Headers], 0))*4.5</f>
        <v>24757.200000000001</v>
      </c>
      <c r="Q16" s="15">
        <f>INDEX(MonthlyScales50[],MATCH($A16, MonthlyScales50[Title], 0),MATCH("10/1/30", MonthlyScales50[#Headers], 0))*3</f>
        <v>16504.800000000003</v>
      </c>
    </row>
    <row r="17" spans="1:17" x14ac:dyDescent="0.2">
      <c r="A17" s="2" t="s">
        <v>60</v>
      </c>
      <c r="B17" s="15">
        <f>INDEX(MonthlyScales50[],MATCH($A17, MonthlyScales50[Title], 0),MATCH("10/1/25", MonthlyScales50[#Headers], 0))*3</f>
        <v>13899.329999999998</v>
      </c>
      <c r="C17" s="15">
        <f>INDEX(MonthlyScales50[],MATCH($A17, MonthlyScales50[Title], 0),MATCH("10/1/25", MonthlyScales50[#Headers], 0))*1.5+INDEX(MonthlyScales50[],MATCH($A17, MonthlyScales50[Title], 0),MATCH("10/1/26", MonthlyScales50[#Headers], 0))*3</f>
        <v>21322.665000000001</v>
      </c>
      <c r="D17" s="15">
        <f>INDEX(MonthlyScales50[],MATCH($A17, MonthlyScales50[Title], 0),MATCH("10/1/26", MonthlyScales50[#Headers], 0))*4.5</f>
        <v>21559.5</v>
      </c>
      <c r="E17" s="15">
        <f>INDEX(MonthlyScales50[],MATCH($A17, MonthlyScales50[Title], 0),MATCH("10/1/26", MonthlyScales50[#Headers], 0))*3</f>
        <v>14373</v>
      </c>
      <c r="F17" s="15">
        <f>INDEX(MonthlyScales50[],MATCH($A17, MonthlyScales50[Title], 0),MATCH("10/1/26", MonthlyScales50[#Headers], 0))*1.5+INDEX(MonthlyScales50[],MATCH($A17, MonthlyScales50[Title], 0),MATCH("10/1/27", MonthlyScales50[#Headers], 0))*3</f>
        <v>22048.5</v>
      </c>
      <c r="G17" s="15">
        <f>INDEX(MonthlyScales50[],MATCH($A17, MonthlyScales50[Title], 0),MATCH("10/1/27", MonthlyScales50[#Headers], 0))*4.5</f>
        <v>22293</v>
      </c>
      <c r="H17" s="15">
        <f>INDEX(MonthlyScales50[],MATCH($A17, MonthlyScales50[Title], 0),MATCH("10/1/27", MonthlyScales50[#Headers], 0))*3</f>
        <v>14862</v>
      </c>
      <c r="I17" s="15">
        <f>INDEX(MonthlyScales50[],MATCH($A17, MonthlyScales50[Title], 0),MATCH("10/1/27", MonthlyScales50[#Headers], 0))*1.5+INDEX(MonthlyScales50[],MATCH($A17, MonthlyScales50[Title], 0),MATCH("10/1/28", MonthlyScales50[#Headers], 0))*3</f>
        <v>22797</v>
      </c>
      <c r="J17" s="15">
        <f>INDEX(MonthlyScales50[],MATCH($A17, MonthlyScales50[Title], 0),MATCH("10/1/28", MonthlyScales50[#Headers], 0))*4.5</f>
        <v>23049</v>
      </c>
      <c r="K17" s="15">
        <f>INDEX(MonthlyScales50[],MATCH($A17, MonthlyScales50[Title], 0),MATCH("10/1/28", MonthlyScales50[#Headers], 0))*3</f>
        <v>15366</v>
      </c>
      <c r="L17" s="15">
        <f>INDEX(MonthlyScales50[],MATCH($A17, MonthlyScales50[Title], 0),MATCH("10/1/28", MonthlyScales50[#Headers], 0))*1.5+INDEX(MonthlyScales50[],MATCH($A17, MonthlyScales50[Title], 0),MATCH("10/1/29", MonthlyScales50[#Headers], 0))*3</f>
        <v>23553</v>
      </c>
      <c r="M17" s="15">
        <f>INDEX(MonthlyScales50[],MATCH($A17, MonthlyScales50[Title], 0),MATCH("10/1/29", MonthlyScales50[#Headers], 0))*4.5</f>
        <v>23805</v>
      </c>
      <c r="N17" s="15">
        <f>INDEX(MonthlyScales50[],MATCH($A17, MonthlyScales50[Title], 0),MATCH("10/1/29", MonthlyScales50[#Headers], 0))*3</f>
        <v>15870</v>
      </c>
      <c r="O17" s="15">
        <f>INDEX(MonthlyScales50[],MATCH($A17, MonthlyScales50[Title], 0),MATCH("10/1/29", MonthlyScales50[#Headers], 0))*1.5+INDEX(MonthlyScales50[],MATCH($A17, MonthlyScales50[Title], 0),MATCH("10/1/30", MonthlyScales50[#Headers], 0))*3</f>
        <v>24439.800000000003</v>
      </c>
      <c r="P17" s="15">
        <f>INDEX(MonthlyScales50[],MATCH($A17, MonthlyScales50[Title], 0),MATCH("10/1/30", MonthlyScales50[#Headers], 0))*4.5</f>
        <v>24757.200000000001</v>
      </c>
      <c r="Q17" s="15">
        <f>INDEX(MonthlyScales50[],MATCH($A17, MonthlyScales50[Title], 0),MATCH("10/1/30", MonthlyScales50[#Headers], 0))*3</f>
        <v>16504.800000000003</v>
      </c>
    </row>
    <row r="18" spans="1:17" x14ac:dyDescent="0.2">
      <c r="A18" s="2" t="s">
        <v>61</v>
      </c>
      <c r="B18" s="15">
        <f>INDEX(MonthlyScales50[],MATCH($A18, MonthlyScales50[Title], 0),MATCH("10/1/25", MonthlyScales50[#Headers], 0))*3</f>
        <v>14316.329999999998</v>
      </c>
      <c r="C18" s="15">
        <f>INDEX(MonthlyScales50[],MATCH($A18, MonthlyScales50[Title], 0),MATCH("10/1/25", MonthlyScales50[#Headers], 0))*1.5+INDEX(MonthlyScales50[],MATCH($A18, MonthlyScales50[Title], 0),MATCH("10/1/26", MonthlyScales50[#Headers], 0))*3</f>
        <v>21846.165000000001</v>
      </c>
      <c r="D18" s="15">
        <f>INDEX(MonthlyScales50[],MATCH($A18, MonthlyScales50[Title], 0),MATCH("10/1/26", MonthlyScales50[#Headers], 0))*4.5</f>
        <v>22032</v>
      </c>
      <c r="E18" s="15">
        <f>INDEX(MonthlyScales50[],MATCH($A18, MonthlyScales50[Title], 0),MATCH("10/1/26", MonthlyScales50[#Headers], 0))*3</f>
        <v>14688</v>
      </c>
      <c r="F18" s="15">
        <f>INDEX(MonthlyScales50[],MATCH($A18, MonthlyScales50[Title], 0),MATCH("10/1/26", MonthlyScales50[#Headers], 0))*1.5+INDEX(MonthlyScales50[],MATCH($A18, MonthlyScales50[Title], 0),MATCH("10/1/27", MonthlyScales50[#Headers], 0))*3</f>
        <v>22413</v>
      </c>
      <c r="G18" s="15">
        <f>INDEX(MonthlyScales50[],MATCH($A18, MonthlyScales50[Title], 0),MATCH("10/1/27", MonthlyScales50[#Headers], 0))*4.5</f>
        <v>22603.5</v>
      </c>
      <c r="H18" s="15">
        <f>INDEX(MonthlyScales50[],MATCH($A18, MonthlyScales50[Title], 0),MATCH("10/1/27", MonthlyScales50[#Headers], 0))*3</f>
        <v>15069</v>
      </c>
      <c r="I18" s="15">
        <f>INDEX(MonthlyScales50[],MATCH($A18, MonthlyScales50[Title], 0),MATCH("10/1/27", MonthlyScales50[#Headers], 0))*1.5+INDEX(MonthlyScales50[],MATCH($A18, MonthlyScales50[Title], 0),MATCH("10/1/28", MonthlyScales50[#Headers], 0))*3</f>
        <v>22996.5</v>
      </c>
      <c r="J18" s="15">
        <f>INDEX(MonthlyScales50[],MATCH($A18, MonthlyScales50[Title], 0),MATCH("10/1/28", MonthlyScales50[#Headers], 0))*4.5</f>
        <v>23193</v>
      </c>
      <c r="K18" s="15">
        <f>INDEX(MonthlyScales50[],MATCH($A18, MonthlyScales50[Title], 0),MATCH("10/1/28", MonthlyScales50[#Headers], 0))*3</f>
        <v>15462</v>
      </c>
      <c r="L18" s="15">
        <f>INDEX(MonthlyScales50[],MATCH($A18, MonthlyScales50[Title], 0),MATCH("10/1/28", MonthlyScales50[#Headers], 0))*1.5+INDEX(MonthlyScales50[],MATCH($A18, MonthlyScales50[Title], 0),MATCH("10/1/29", MonthlyScales50[#Headers], 0))*3</f>
        <v>23601</v>
      </c>
      <c r="M18" s="15">
        <f>INDEX(MonthlyScales50[],MATCH($A18, MonthlyScales50[Title], 0),MATCH("10/1/29", MonthlyScales50[#Headers], 0))*4.5</f>
        <v>23805</v>
      </c>
      <c r="N18" s="15">
        <f>INDEX(MonthlyScales50[],MATCH($A18, MonthlyScales50[Title], 0),MATCH("10/1/29", MonthlyScales50[#Headers], 0))*3</f>
        <v>15870</v>
      </c>
      <c r="O18" s="15">
        <f>INDEX(MonthlyScales50[],MATCH($A18, MonthlyScales50[Title], 0),MATCH("10/1/29", MonthlyScales50[#Headers], 0))*1.5+INDEX(MonthlyScales50[],MATCH($A18, MonthlyScales50[Title], 0),MATCH("10/1/30", MonthlyScales50[#Headers], 0))*3</f>
        <v>24439.800000000003</v>
      </c>
      <c r="P18" s="15">
        <f>INDEX(MonthlyScales50[],MATCH($A18, MonthlyScales50[Title], 0),MATCH("10/1/30", MonthlyScales50[#Headers], 0))*4.5</f>
        <v>24757.200000000001</v>
      </c>
      <c r="Q18" s="15">
        <f>INDEX(MonthlyScales50[],MATCH($A18, MonthlyScales50[Title], 0),MATCH("10/1/30", MonthlyScales50[#Headers], 0))*3</f>
        <v>16504.800000000003</v>
      </c>
    </row>
    <row r="19" spans="1:17" x14ac:dyDescent="0.2">
      <c r="A19" s="2" t="s">
        <v>62</v>
      </c>
      <c r="B19" s="15">
        <f>INDEX(MonthlyScales50[],MATCH($A19, MonthlyScales50[Title], 0),MATCH("10/1/25", MonthlyScales50[#Headers], 0))*3</f>
        <v>14745.84</v>
      </c>
      <c r="C19" s="15">
        <f>INDEX(MonthlyScales50[],MATCH($A19, MonthlyScales50[Title], 0),MATCH("10/1/25", MonthlyScales50[#Headers], 0))*1.5+INDEX(MonthlyScales50[],MATCH($A19, MonthlyScales50[Title], 0),MATCH("10/1/26", MonthlyScales50[#Headers], 0))*3</f>
        <v>22399.919999999998</v>
      </c>
      <c r="D19" s="15">
        <f>INDEX(MonthlyScales50[],MATCH($A19, MonthlyScales50[Title], 0),MATCH("10/1/26", MonthlyScales50[#Headers], 0))*4.5</f>
        <v>22540.5</v>
      </c>
      <c r="E19" s="15">
        <f>INDEX(MonthlyScales50[],MATCH($A19, MonthlyScales50[Title], 0),MATCH("10/1/26", MonthlyScales50[#Headers], 0))*3</f>
        <v>15027</v>
      </c>
      <c r="F19" s="15">
        <f>INDEX(MonthlyScales50[],MATCH($A19, MonthlyScales50[Title], 0),MATCH("10/1/26", MonthlyScales50[#Headers], 0))*1.5+INDEX(MonthlyScales50[],MATCH($A19, MonthlyScales50[Title], 0),MATCH("10/1/27", MonthlyScales50[#Headers], 0))*3</f>
        <v>22825.5</v>
      </c>
      <c r="G19" s="15">
        <f>INDEX(MonthlyScales50[],MATCH($A19, MonthlyScales50[Title], 0),MATCH("10/1/27", MonthlyScales50[#Headers], 0))*4.5</f>
        <v>22968</v>
      </c>
      <c r="H19" s="15">
        <f>INDEX(MonthlyScales50[],MATCH($A19, MonthlyScales50[Title], 0),MATCH("10/1/27", MonthlyScales50[#Headers], 0))*3</f>
        <v>15312</v>
      </c>
      <c r="I19" s="15">
        <f>INDEX(MonthlyScales50[],MATCH($A19, MonthlyScales50[Title], 0),MATCH("10/1/27", MonthlyScales50[#Headers], 0))*1.5+INDEX(MonthlyScales50[],MATCH($A19, MonthlyScales50[Title], 0),MATCH("10/1/28", MonthlyScales50[#Headers], 0))*3</f>
        <v>23259</v>
      </c>
      <c r="J19" s="15">
        <f>INDEX(MonthlyScales50[],MATCH($A19, MonthlyScales50[Title], 0),MATCH("10/1/28", MonthlyScales50[#Headers], 0))*4.5</f>
        <v>23404.5</v>
      </c>
      <c r="K19" s="15">
        <f>INDEX(MonthlyScales50[],MATCH($A19, MonthlyScales50[Title], 0),MATCH("10/1/28", MonthlyScales50[#Headers], 0))*3</f>
        <v>15603</v>
      </c>
      <c r="L19" s="15">
        <f>INDEX(MonthlyScales50[],MATCH($A19, MonthlyScales50[Title], 0),MATCH("10/1/28", MonthlyScales50[#Headers], 0))*1.5+INDEX(MonthlyScales50[],MATCH($A19, MonthlyScales50[Title], 0),MATCH("10/1/29", MonthlyScales50[#Headers], 0))*3</f>
        <v>23671.5</v>
      </c>
      <c r="M19" s="15">
        <f>INDEX(MonthlyScales50[],MATCH($A19, MonthlyScales50[Title], 0),MATCH("10/1/29", MonthlyScales50[#Headers], 0))*4.5</f>
        <v>23805</v>
      </c>
      <c r="N19" s="15">
        <f>INDEX(MonthlyScales50[],MATCH($A19, MonthlyScales50[Title], 0),MATCH("10/1/29", MonthlyScales50[#Headers], 0))*3</f>
        <v>15870</v>
      </c>
      <c r="O19" s="15">
        <f>INDEX(MonthlyScales50[],MATCH($A19, MonthlyScales50[Title], 0),MATCH("10/1/29", MonthlyScales50[#Headers], 0))*1.5+INDEX(MonthlyScales50[],MATCH($A19, MonthlyScales50[Title], 0),MATCH("10/1/30", MonthlyScales50[#Headers], 0))*3</f>
        <v>24439.800000000003</v>
      </c>
      <c r="P19" s="15">
        <f>INDEX(MonthlyScales50[],MATCH($A19, MonthlyScales50[Title], 0),MATCH("10/1/30", MonthlyScales50[#Headers], 0))*4.5</f>
        <v>24757.200000000001</v>
      </c>
      <c r="Q19" s="15">
        <f>INDEX(MonthlyScales50[],MATCH($A19, MonthlyScales50[Title], 0),MATCH("10/1/30", MonthlyScales50[#Headers], 0))*3</f>
        <v>16504.800000000003</v>
      </c>
    </row>
  </sheetData>
  <mergeCells count="1">
    <mergeCell ref="B1:K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3ACD5-C86E-3347-BEBD-3DC9273A659B}">
  <dimension ref="A1:Q14"/>
  <sheetViews>
    <sheetView zoomScale="120" zoomScaleNormal="120" workbookViewId="0">
      <selection activeCell="D5" sqref="D5"/>
    </sheetView>
  </sheetViews>
  <sheetFormatPr baseColWidth="10" defaultColWidth="11" defaultRowHeight="16" x14ac:dyDescent="0.2"/>
  <cols>
    <col min="1" max="1" width="33.1640625" bestFit="1" customWidth="1"/>
    <col min="2" max="2" width="33.1640625" customWidth="1"/>
    <col min="3" max="4" width="12.83203125" customWidth="1"/>
    <col min="5" max="5" width="14" customWidth="1"/>
    <col min="6" max="7" width="12.83203125" customWidth="1"/>
    <col min="8" max="8" width="14" customWidth="1"/>
    <col min="9" max="10" width="12.83203125" customWidth="1"/>
    <col min="11" max="11" width="14" customWidth="1"/>
    <col min="12" max="13" width="12.83203125" customWidth="1"/>
    <col min="14" max="14" width="14" customWidth="1"/>
  </cols>
  <sheetData>
    <row r="1" spans="1:17" x14ac:dyDescent="0.2">
      <c r="B1" s="18" t="s">
        <v>79</v>
      </c>
    </row>
    <row r="2" spans="1:17" x14ac:dyDescent="0.2">
      <c r="A2" s="9" t="s">
        <v>80</v>
      </c>
      <c r="B2" s="10" t="s">
        <v>63</v>
      </c>
      <c r="C2" s="26" t="s">
        <v>64</v>
      </c>
      <c r="D2" s="26" t="s">
        <v>65</v>
      </c>
      <c r="E2" s="26" t="s">
        <v>66</v>
      </c>
      <c r="F2" s="26" t="s">
        <v>67</v>
      </c>
      <c r="G2" s="26" t="s">
        <v>68</v>
      </c>
      <c r="H2" s="26" t="s">
        <v>69</v>
      </c>
      <c r="I2" s="26" t="s">
        <v>70</v>
      </c>
      <c r="J2" s="26" t="s">
        <v>71</v>
      </c>
      <c r="K2" s="26" t="s">
        <v>72</v>
      </c>
      <c r="L2" s="26" t="s">
        <v>73</v>
      </c>
      <c r="M2" s="26" t="s">
        <v>74</v>
      </c>
      <c r="N2" s="27" t="s">
        <v>75</v>
      </c>
      <c r="O2" s="26" t="s">
        <v>76</v>
      </c>
      <c r="P2" s="26" t="s">
        <v>77</v>
      </c>
      <c r="Q2" s="27" t="s">
        <v>78</v>
      </c>
    </row>
    <row r="3" spans="1:17" x14ac:dyDescent="0.2">
      <c r="A3" s="10" t="s">
        <v>81</v>
      </c>
      <c r="B3" s="28">
        <v>0</v>
      </c>
      <c r="C3" s="3">
        <v>6861</v>
      </c>
      <c r="D3" s="3">
        <v>6861</v>
      </c>
      <c r="E3" s="3">
        <v>0</v>
      </c>
      <c r="F3" s="12">
        <f t="shared" ref="F3:Q6" si="0">C3*(1+$B11)</f>
        <v>7135.4400000000005</v>
      </c>
      <c r="G3" s="12">
        <f t="shared" si="0"/>
        <v>7135.4400000000005</v>
      </c>
      <c r="H3" s="12">
        <f t="shared" si="0"/>
        <v>0</v>
      </c>
      <c r="I3" s="12">
        <f t="shared" si="0"/>
        <v>7420.8576000000012</v>
      </c>
      <c r="J3" s="12">
        <f t="shared" si="0"/>
        <v>7420.8576000000012</v>
      </c>
      <c r="K3" s="12">
        <f t="shared" si="0"/>
        <v>0</v>
      </c>
      <c r="L3" s="12">
        <f t="shared" si="0"/>
        <v>7717.6919040000012</v>
      </c>
      <c r="M3" s="12">
        <f t="shared" si="0"/>
        <v>7717.6919040000012</v>
      </c>
      <c r="N3" s="12">
        <f t="shared" si="0"/>
        <v>0</v>
      </c>
      <c r="O3" s="12">
        <f t="shared" si="0"/>
        <v>8026.3995801600013</v>
      </c>
      <c r="P3" s="12">
        <f t="shared" si="0"/>
        <v>8026.3995801600013</v>
      </c>
      <c r="Q3" s="12">
        <f t="shared" si="0"/>
        <v>0</v>
      </c>
    </row>
    <row r="4" spans="1:17" x14ac:dyDescent="0.2">
      <c r="A4" s="10" t="s">
        <v>82</v>
      </c>
      <c r="B4" s="28">
        <v>0</v>
      </c>
      <c r="C4" s="3">
        <v>672</v>
      </c>
      <c r="D4" s="3">
        <v>672</v>
      </c>
      <c r="E4" s="3">
        <v>0</v>
      </c>
      <c r="F4" s="12">
        <f t="shared" si="0"/>
        <v>692.16</v>
      </c>
      <c r="G4" s="12">
        <f t="shared" si="0"/>
        <v>692.16</v>
      </c>
      <c r="H4" s="12">
        <f t="shared" si="0"/>
        <v>0</v>
      </c>
      <c r="I4" s="12">
        <f t="shared" si="0"/>
        <v>712.9248</v>
      </c>
      <c r="J4" s="12">
        <f t="shared" si="0"/>
        <v>712.9248</v>
      </c>
      <c r="K4" s="12">
        <f t="shared" si="0"/>
        <v>0</v>
      </c>
      <c r="L4" s="12">
        <f t="shared" si="0"/>
        <v>734.312544</v>
      </c>
      <c r="M4" s="12">
        <f t="shared" si="0"/>
        <v>734.312544</v>
      </c>
      <c r="N4" s="12">
        <f t="shared" si="0"/>
        <v>0</v>
      </c>
      <c r="O4" s="12">
        <f t="shared" si="0"/>
        <v>756.34192031999999</v>
      </c>
      <c r="P4" s="12">
        <f t="shared" si="0"/>
        <v>756.34192031999999</v>
      </c>
      <c r="Q4" s="12">
        <f t="shared" si="0"/>
        <v>0</v>
      </c>
    </row>
    <row r="5" spans="1:17" x14ac:dyDescent="0.2">
      <c r="A5" s="10" t="s">
        <v>83</v>
      </c>
      <c r="B5" s="28">
        <v>0</v>
      </c>
      <c r="C5" s="3">
        <v>2272.7600000000002</v>
      </c>
      <c r="D5" s="3">
        <v>3181.87</v>
      </c>
      <c r="E5" s="3">
        <v>0</v>
      </c>
      <c r="F5" s="12">
        <f t="shared" si="0"/>
        <v>2340.9428000000003</v>
      </c>
      <c r="G5" s="12">
        <f t="shared" si="0"/>
        <v>3277.3260999999998</v>
      </c>
      <c r="H5" s="12">
        <f t="shared" si="0"/>
        <v>0</v>
      </c>
      <c r="I5" s="12">
        <f t="shared" si="0"/>
        <v>2411.1710840000005</v>
      </c>
      <c r="J5" s="12">
        <f t="shared" si="0"/>
        <v>3375.6458829999997</v>
      </c>
      <c r="K5" s="12">
        <f t="shared" si="0"/>
        <v>0</v>
      </c>
      <c r="L5" s="12">
        <f t="shared" si="0"/>
        <v>2483.5062165200006</v>
      </c>
      <c r="M5" s="12">
        <f t="shared" si="0"/>
        <v>3476.9152594899997</v>
      </c>
      <c r="N5" s="12">
        <f t="shared" si="0"/>
        <v>0</v>
      </c>
      <c r="O5" s="12">
        <f t="shared" si="0"/>
        <v>2558.0114030156005</v>
      </c>
      <c r="P5" s="12">
        <f t="shared" si="0"/>
        <v>3581.2227172746998</v>
      </c>
      <c r="Q5" s="12">
        <f t="shared" si="0"/>
        <v>0</v>
      </c>
    </row>
    <row r="6" spans="1:17" x14ac:dyDescent="0.2">
      <c r="A6" s="10" t="s">
        <v>84</v>
      </c>
      <c r="B6" s="28">
        <v>0</v>
      </c>
      <c r="C6" s="3">
        <f>453.5+50</f>
        <v>503.5</v>
      </c>
      <c r="D6" s="3">
        <f>453.5+50</f>
        <v>503.5</v>
      </c>
      <c r="E6" s="3">
        <v>0</v>
      </c>
      <c r="F6" s="12">
        <f t="shared" si="0"/>
        <v>518.60500000000002</v>
      </c>
      <c r="G6" s="12">
        <f t="shared" si="0"/>
        <v>518.60500000000002</v>
      </c>
      <c r="H6" s="12">
        <f t="shared" si="0"/>
        <v>0</v>
      </c>
      <c r="I6" s="12">
        <f t="shared" si="0"/>
        <v>534.16315000000009</v>
      </c>
      <c r="J6" s="12">
        <f t="shared" si="0"/>
        <v>534.16315000000009</v>
      </c>
      <c r="K6" s="12">
        <f t="shared" si="0"/>
        <v>0</v>
      </c>
      <c r="L6" s="12">
        <f t="shared" si="0"/>
        <v>550.18804450000016</v>
      </c>
      <c r="M6" s="12">
        <f t="shared" si="0"/>
        <v>550.18804450000016</v>
      </c>
      <c r="N6" s="12">
        <f t="shared" si="0"/>
        <v>0</v>
      </c>
      <c r="O6" s="12">
        <f t="shared" si="0"/>
        <v>566.69368583500022</v>
      </c>
      <c r="P6" s="12">
        <f t="shared" si="0"/>
        <v>566.69368583500022</v>
      </c>
      <c r="Q6" s="12">
        <f t="shared" si="0"/>
        <v>0</v>
      </c>
    </row>
    <row r="7" spans="1:17" x14ac:dyDescent="0.2">
      <c r="A7" s="10" t="s">
        <v>85</v>
      </c>
      <c r="B7" s="29">
        <f>SUM(B4:B6)</f>
        <v>0</v>
      </c>
      <c r="C7" s="3">
        <f>SUM(C4:C6)</f>
        <v>3448.26</v>
      </c>
      <c r="D7" s="3">
        <f t="shared" ref="D7:H7" si="1">SUM(D4:D6)</f>
        <v>4357.37</v>
      </c>
      <c r="E7" s="3">
        <f t="shared" si="1"/>
        <v>0</v>
      </c>
      <c r="F7" s="3">
        <f t="shared" si="1"/>
        <v>3551.7078000000001</v>
      </c>
      <c r="G7" s="3">
        <f t="shared" si="1"/>
        <v>4488.0910999999996</v>
      </c>
      <c r="H7" s="3">
        <f t="shared" si="1"/>
        <v>0</v>
      </c>
      <c r="I7" s="3">
        <f>SUM(I4:I6)</f>
        <v>3658.2590340000006</v>
      </c>
      <c r="J7" s="3">
        <f>SUM(J4:J6)</f>
        <v>4622.7338330000002</v>
      </c>
      <c r="K7" s="3">
        <f t="shared" ref="K7" si="2">SUM(K4:K6)</f>
        <v>0</v>
      </c>
      <c r="L7" s="3">
        <f>SUM(L4:L6)</f>
        <v>3768.0068050200007</v>
      </c>
      <c r="M7" s="3">
        <f>SUM(M4:M6)</f>
        <v>4761.4158479899997</v>
      </c>
      <c r="N7" s="3">
        <f t="shared" ref="N7" si="3">SUM(N4:N6)</f>
        <v>0</v>
      </c>
      <c r="O7" s="12">
        <f>SUM(O4:O6)</f>
        <v>3881.0470091706011</v>
      </c>
      <c r="P7" s="12">
        <f>SUM(P4:P6)</f>
        <v>4904.2583234296999</v>
      </c>
      <c r="Q7" s="12">
        <f>SUM(Q4:Q6)</f>
        <v>0</v>
      </c>
    </row>
    <row r="8" spans="1:17" x14ac:dyDescent="0.2">
      <c r="A8" s="10" t="s">
        <v>19</v>
      </c>
      <c r="B8" s="25">
        <f t="shared" ref="B8:Q8" si="4">SUM(B3:B6)</f>
        <v>0</v>
      </c>
      <c r="C8" s="17">
        <f t="shared" si="4"/>
        <v>10309.26</v>
      </c>
      <c r="D8" s="17">
        <f t="shared" si="4"/>
        <v>11218.369999999999</v>
      </c>
      <c r="E8" s="17">
        <f t="shared" si="4"/>
        <v>0</v>
      </c>
      <c r="F8" s="17">
        <f t="shared" si="4"/>
        <v>10687.147800000001</v>
      </c>
      <c r="G8" s="17">
        <f t="shared" si="4"/>
        <v>11623.5311</v>
      </c>
      <c r="H8" s="17">
        <f t="shared" si="4"/>
        <v>0</v>
      </c>
      <c r="I8" s="17">
        <f t="shared" si="4"/>
        <v>11079.116634000002</v>
      </c>
      <c r="J8" s="17">
        <f t="shared" si="4"/>
        <v>12043.591433000001</v>
      </c>
      <c r="K8" s="17">
        <f t="shared" si="4"/>
        <v>0</v>
      </c>
      <c r="L8" s="17">
        <f t="shared" si="4"/>
        <v>11485.698709020004</v>
      </c>
      <c r="M8" s="17">
        <f t="shared" si="4"/>
        <v>12479.107751990001</v>
      </c>
      <c r="N8" s="17">
        <f t="shared" si="4"/>
        <v>0</v>
      </c>
      <c r="O8" s="17">
        <f t="shared" si="4"/>
        <v>11907.446589330601</v>
      </c>
      <c r="P8" s="17">
        <f t="shared" si="4"/>
        <v>12930.657903589699</v>
      </c>
      <c r="Q8" s="17">
        <f t="shared" si="4"/>
        <v>0</v>
      </c>
    </row>
    <row r="10" spans="1:17" x14ac:dyDescent="0.2">
      <c r="A10" s="10" t="s">
        <v>86</v>
      </c>
      <c r="B10" s="21"/>
    </row>
    <row r="11" spans="1:17" x14ac:dyDescent="0.2">
      <c r="A11" s="10" t="s">
        <v>87</v>
      </c>
      <c r="B11" s="33">
        <v>0.04</v>
      </c>
    </row>
    <row r="12" spans="1:17" x14ac:dyDescent="0.2">
      <c r="A12" s="10" t="s">
        <v>88</v>
      </c>
      <c r="B12" s="33">
        <v>0.03</v>
      </c>
    </row>
    <row r="13" spans="1:17" x14ac:dyDescent="0.2">
      <c r="A13" s="10" t="s">
        <v>89</v>
      </c>
      <c r="B13" s="33">
        <v>0.03</v>
      </c>
    </row>
    <row r="14" spans="1:17" x14ac:dyDescent="0.2">
      <c r="A14" s="10" t="s">
        <v>90</v>
      </c>
      <c r="B14" s="33">
        <v>0.03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762430-7575-4216-b0cc-b35ccecb285e" xsi:nil="true"/>
    <lcf76f155ced4ddcb4097134ff3c332f xmlns="2adecdac-2342-4921-bf56-18b7a722dff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6F1AEE5B428542BCD2FE1007B3B8CA" ma:contentTypeVersion="13" ma:contentTypeDescription="Create a new document." ma:contentTypeScope="" ma:versionID="45684d4fa52d45855102730b0416bd4a">
  <xsd:schema xmlns:xsd="http://www.w3.org/2001/XMLSchema" xmlns:xs="http://www.w3.org/2001/XMLSchema" xmlns:p="http://schemas.microsoft.com/office/2006/metadata/properties" xmlns:ns2="2adecdac-2342-4921-bf56-18b7a722dff0" xmlns:ns3="a6762430-7575-4216-b0cc-b35ccecb285e" targetNamespace="http://schemas.microsoft.com/office/2006/metadata/properties" ma:root="true" ma:fieldsID="1e59cfdeab1c2d7e0817893d119c53ab" ns2:_="" ns3:_="">
    <xsd:import namespace="2adecdac-2342-4921-bf56-18b7a722dff0"/>
    <xsd:import namespace="a6762430-7575-4216-b0cc-b35ccecb28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ecdac-2342-4921-bf56-18b7a722df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3b8da89-66ce-4411-8b7f-88984b48a1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62430-7575-4216-b0cc-b35ccecb28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d7fbabe-d78a-4b2e-9ecc-a98fde764a9e}" ma:internalName="TaxCatchAll" ma:showField="CatchAllData" ma:web="a6762430-7575-4216-b0cc-b35ccecb28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539400-D698-4D72-BBE7-AE066446A5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6BBF74-B659-49B4-BECE-DE16E7224D21}">
  <ds:schemaRefs>
    <ds:schemaRef ds:uri="http://schemas.microsoft.com/office/2006/metadata/properties"/>
    <ds:schemaRef ds:uri="http://schemas.microsoft.com/office/infopath/2007/PartnerControls"/>
    <ds:schemaRef ds:uri="a6762430-7575-4216-b0cc-b35ccecb285e"/>
    <ds:schemaRef ds:uri="2adecdac-2342-4921-bf56-18b7a722dff0"/>
  </ds:schemaRefs>
</ds:datastoreItem>
</file>

<file path=customXml/itemProps3.xml><?xml version="1.0" encoding="utf-8"?>
<ds:datastoreItem xmlns:ds="http://schemas.openxmlformats.org/officeDocument/2006/customXml" ds:itemID="{7E700433-8F77-490F-BDDD-6080B939E0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decdac-2342-4921-bf56-18b7a722dff0"/>
    <ds:schemaRef ds:uri="a6762430-7575-4216-b0cc-b35ccecb2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CALCULATOR</vt:lpstr>
      <vt:lpstr>Scatch</vt:lpstr>
      <vt:lpstr>Monthly Scales</vt:lpstr>
      <vt:lpstr>Term Scales</vt:lpstr>
      <vt:lpstr>Tuition+Fees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Cannon</dc:creator>
  <cp:keywords/>
  <dc:description/>
  <cp:lastModifiedBy>Christine Lima</cp:lastModifiedBy>
  <cp:revision/>
  <dcterms:created xsi:type="dcterms:W3CDTF">2024-03-26T03:47:22Z</dcterms:created>
  <dcterms:modified xsi:type="dcterms:W3CDTF">2026-08-20T21:39:03Z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0x010100296F1AEE5B428542BCD2FE1007B3B8CA</vt:lpwstr>
  </property>
  <property fmtid="{D5CDD505-2E9C-101B-9397-08002B2CF9AE}" pid="3" name="MediaServiceImageTags">
    <vt:lpwstr/>
  </property>
</Properties>
</file>